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foertel\Documents\Schatzmeister\OwnCloud\Formulare\Abrechnungen\"/>
    </mc:Choice>
  </mc:AlternateContent>
  <bookViews>
    <workbookView xWindow="0" yWindow="0" windowWidth="24000" windowHeight="9735" activeTab="1"/>
  </bookViews>
  <sheets>
    <sheet name="RKA Einzel" sheetId="1" r:id="rId1"/>
    <sheet name="RKA Masse" sheetId="4" r:id="rId2"/>
    <sheet name="Hilfsblatt" sheetId="2" r:id="rId3"/>
    <sheet name="Tagessätze" sheetId="3" r:id="rId4"/>
  </sheets>
  <definedNames>
    <definedName name="_xlnm.Print_Area" localSheetId="0">'RKA Einzel'!$A$1:$N$73</definedName>
  </definedName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A61" i="1"/>
  <c r="A59" i="1"/>
  <c r="B53" i="1"/>
  <c r="B2" i="2"/>
  <c r="C2" i="2"/>
  <c r="F2" i="2"/>
  <c r="G53" i="1"/>
  <c r="I53" i="1"/>
  <c r="K53" i="1"/>
  <c r="B55" i="1"/>
  <c r="G2" i="2"/>
  <c r="G55" i="1"/>
  <c r="K55" i="1"/>
  <c r="B57" i="1"/>
  <c r="D2" i="2"/>
  <c r="H2" i="2"/>
  <c r="G57" i="1"/>
  <c r="I57" i="1"/>
  <c r="D57" i="1"/>
  <c r="K57" i="1"/>
  <c r="L2" i="2"/>
  <c r="O2" i="2"/>
  <c r="P2" i="2"/>
  <c r="M2" i="2"/>
  <c r="N2" i="2"/>
  <c r="I55" i="1"/>
  <c r="H61" i="1"/>
  <c r="K2" i="2"/>
  <c r="K61" i="1"/>
  <c r="H59" i="1"/>
  <c r="I2" i="2"/>
  <c r="K59" i="1"/>
  <c r="D53" i="1"/>
  <c r="H60" i="1"/>
  <c r="J2" i="2"/>
  <c r="K60" i="1"/>
  <c r="N61" i="1"/>
  <c r="N57" i="1"/>
  <c r="G31" i="1"/>
  <c r="J31" i="1"/>
  <c r="G34" i="1"/>
  <c r="J34" i="1"/>
  <c r="N40" i="1"/>
  <c r="N45" i="1"/>
  <c r="N65" i="1"/>
  <c r="K69" i="1"/>
  <c r="B35" i="1"/>
  <c r="D55" i="1"/>
  <c r="E65" i="1"/>
  <c r="E22" i="1"/>
  <c r="A12" i="1"/>
  <c r="A10" i="1"/>
  <c r="A8" i="1"/>
</calcChain>
</file>

<file path=xl/sharedStrings.xml><?xml version="1.0" encoding="utf-8"?>
<sst xmlns="http://schemas.openxmlformats.org/spreadsheetml/2006/main" count="202" uniqueCount="144">
  <si>
    <t>Reisekostenabrechnung</t>
  </si>
  <si>
    <t xml:space="preserve"> </t>
  </si>
  <si>
    <t>Bayerischer Badminton-Verband</t>
  </si>
  <si>
    <t>Hans</t>
  </si>
  <si>
    <t>Vorname Nachname</t>
  </si>
  <si>
    <t>Verband/Bezirk:</t>
  </si>
  <si>
    <t>Aus der Straße 100</t>
  </si>
  <si>
    <t>Straße Hausnummer</t>
  </si>
  <si>
    <t>93493 Hollerburg</t>
  </si>
  <si>
    <t>PLZ Wohnort</t>
  </si>
  <si>
    <t>Inhaber 434</t>
  </si>
  <si>
    <t>Bankverbindung</t>
  </si>
  <si>
    <t>DE071223123412</t>
  </si>
  <si>
    <t>BYLADEM1ERH</t>
  </si>
  <si>
    <t>IBAN</t>
  </si>
  <si>
    <t>SWIFT-BIC</t>
  </si>
  <si>
    <t>Fahrt  von</t>
  </si>
  <si>
    <t>Nürnberg</t>
  </si>
  <si>
    <t>nach</t>
  </si>
  <si>
    <t>Regensburg</t>
  </si>
  <si>
    <t>und zurück</t>
  </si>
  <si>
    <t>Abfahrt Wohnung am:</t>
  </si>
  <si>
    <t>Datum</t>
  </si>
  <si>
    <t>um</t>
  </si>
  <si>
    <t>Uhr</t>
  </si>
  <si>
    <t>Ankunft Wohnung am:</t>
  </si>
  <si>
    <t>Anzahl der Wiederholungen:</t>
  </si>
  <si>
    <t>Zweck der Reise:</t>
  </si>
  <si>
    <t>Sporttag Regensburg</t>
  </si>
  <si>
    <t>Veranstaltung / Reisegrund / Namen der besuchten Personen</t>
  </si>
  <si>
    <t>Fahrtkosten</t>
  </si>
  <si>
    <t>Benutzung der dt. Bahn</t>
  </si>
  <si>
    <t>.Kl. (lt.Beleg)</t>
  </si>
  <si>
    <t>=</t>
  </si>
  <si>
    <t>Benutzung eines eigenen PKW</t>
  </si>
  <si>
    <t>km</t>
  </si>
  <si>
    <t>x</t>
  </si>
  <si>
    <t>Mitnahme von Personen im PKW</t>
  </si>
  <si>
    <t>z.B. F. Schlosser, B. Stephan, T. Oertel</t>
  </si>
  <si>
    <t xml:space="preserve">öffentliche Verkehrsmittel </t>
  </si>
  <si>
    <t>sonstiges</t>
  </si>
  <si>
    <t>∑</t>
  </si>
  <si>
    <t>Begründung</t>
  </si>
  <si>
    <t>Übernachtungs-</t>
  </si>
  <si>
    <t>kosten</t>
  </si>
  <si>
    <t>Nächte je</t>
  </si>
  <si>
    <t xml:space="preserve"> (nur mit Original-Beleg)</t>
  </si>
  <si>
    <t>Tagegeld</t>
  </si>
  <si>
    <t>Abwesenheit von der Wohnung</t>
  </si>
  <si>
    <t>eintägig</t>
  </si>
  <si>
    <t>mehrtägig</t>
  </si>
  <si>
    <t>- über   6 Stunden</t>
  </si>
  <si>
    <t>Tag à</t>
  </si>
  <si>
    <t>Tag(e) à</t>
  </si>
  <si>
    <t>- über   8 Stunden</t>
  </si>
  <si>
    <t>- über 12 Stunden</t>
  </si>
  <si>
    <t>abzgl.</t>
  </si>
  <si>
    <t>Mittagessen erhalten?</t>
  </si>
  <si>
    <t>Kostenstelle:</t>
  </si>
  <si>
    <t>Ich versichere die Richtigkeit meiner Angaben.</t>
  </si>
  <si>
    <t>Zur Zahlung angewiesen:</t>
  </si>
  <si>
    <t>Art der Kostenerstattung:</t>
  </si>
  <si>
    <t>Überweisung</t>
  </si>
  <si>
    <t>Sachlich und rechnerisch richtig:</t>
  </si>
  <si>
    <t xml:space="preserve">Unterschrift     </t>
  </si>
  <si>
    <t>Schatzmeister/in</t>
  </si>
  <si>
    <t>Eintägig</t>
  </si>
  <si>
    <t>Mehrtägig Start</t>
  </si>
  <si>
    <t>Mehrtägig Ende</t>
  </si>
  <si>
    <t>Mehrtägig Zwischentage</t>
  </si>
  <si>
    <t>Abrechnung Hilfe</t>
  </si>
  <si>
    <t>Mehrtägig 6</t>
  </si>
  <si>
    <t>Mehrtägig 8</t>
  </si>
  <si>
    <t>Mehrtägig 12</t>
  </si>
  <si>
    <t>Prozent 1</t>
  </si>
  <si>
    <t>Prozent 2</t>
  </si>
  <si>
    <t>Prozent 3</t>
  </si>
  <si>
    <t>Berechnungsgrundlagen für die einzelnen Bezirke bzw. den BBV</t>
  </si>
  <si>
    <t>Bezirk</t>
  </si>
  <si>
    <t>KM-Satz</t>
  </si>
  <si>
    <t>KM-Satz Beifahrer</t>
  </si>
  <si>
    <t>Eintägig 6</t>
  </si>
  <si>
    <t>Eintägig 8</t>
  </si>
  <si>
    <t>Frühstück</t>
  </si>
  <si>
    <t>Mittagessen</t>
  </si>
  <si>
    <t>Abendessen</t>
  </si>
  <si>
    <t>Name Schatzmeister</t>
  </si>
  <si>
    <t>Straße Schatzmeister</t>
  </si>
  <si>
    <t>PLZ Schatzmeister</t>
  </si>
  <si>
    <t>Ort Schatzmeister</t>
  </si>
  <si>
    <t>BBV</t>
  </si>
  <si>
    <t>Georg-Brauchle-Ring 93</t>
  </si>
  <si>
    <t>München</t>
  </si>
  <si>
    <t>Mittelfranken</t>
  </si>
  <si>
    <t>Valerie Gehr</t>
  </si>
  <si>
    <t>Vacher Straße 131</t>
  </si>
  <si>
    <t>Fürth</t>
  </si>
  <si>
    <t>Hubert Zaschka</t>
  </si>
  <si>
    <t>Zur Austria 5a</t>
  </si>
  <si>
    <t>Maxhütte-Haidhof</t>
  </si>
  <si>
    <t>Oberbayern</t>
  </si>
  <si>
    <t>Oberfranken</t>
  </si>
  <si>
    <t>Schwaben</t>
  </si>
  <si>
    <t>Unterfranken</t>
  </si>
  <si>
    <t>Günter Bender</t>
  </si>
  <si>
    <t>Veitshöchheim</t>
  </si>
  <si>
    <t>Eva Oswald</t>
  </si>
  <si>
    <t>Margarethe Gläßer</t>
  </si>
  <si>
    <t>Weidenstraße 23</t>
  </si>
  <si>
    <t>Fürstenfeldbruck</t>
  </si>
  <si>
    <t>Peter Lißel</t>
  </si>
  <si>
    <t>Rohrmühlstraße 23</t>
  </si>
  <si>
    <t>Tröstau</t>
  </si>
  <si>
    <t>Sonja Pfarrkircher</t>
  </si>
  <si>
    <t>Donaustraße 35a</t>
  </si>
  <si>
    <t>Blindheim</t>
  </si>
  <si>
    <t>Günterslebener Straße 30</t>
  </si>
  <si>
    <t>Hilfe Verpflegung</t>
  </si>
  <si>
    <t>Frühstück Hilfe</t>
  </si>
  <si>
    <t>Satz Abreise Abendessen</t>
  </si>
  <si>
    <t>Abendessen Hilfe</t>
  </si>
  <si>
    <t>Satz Anreise Frühstück</t>
  </si>
  <si>
    <t>Teilnehmer:</t>
  </si>
  <si>
    <t xml:space="preserve">am: / von - bis: </t>
  </si>
  <si>
    <t>in:</t>
  </si>
  <si>
    <t>Leiter:</t>
  </si>
  <si>
    <t>Teilnehmer-/Abrechnungsliste</t>
  </si>
  <si>
    <t>Name/Vorname</t>
  </si>
  <si>
    <t>Wohnort</t>
  </si>
  <si>
    <t>Hotel</t>
  </si>
  <si>
    <t>Summe</t>
  </si>
  <si>
    <t>Unterschrift</t>
  </si>
  <si>
    <t>des Teilnehmers</t>
  </si>
  <si>
    <t>PKW-km</t>
  </si>
  <si>
    <t>in €</t>
  </si>
  <si>
    <t>€</t>
  </si>
  <si>
    <t>Gesamtbetrag / € :</t>
  </si>
  <si>
    <t>Übernachtungskosten (Rechnung) und Kosten für öffentliche Verkehrsmittel (Fahrkarte oder Abbuchungsbeleg) können nur mit Belegen erstattet werden.</t>
  </si>
  <si>
    <t>Lehrgang/Veranstaltung:</t>
  </si>
  <si>
    <t>Unterschrift des Lehrgangs-/Veranstaltungsleiters (auch ohne Auszahlung)</t>
  </si>
  <si>
    <t>(BBV-Form 11/2017)</t>
  </si>
  <si>
    <t>Ndb/Opf.</t>
  </si>
  <si>
    <t>z.B. 13.07.2017, 18.07.2017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</si>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</sst>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164" formatCode="0.00\ \ \ _)"/>
    <numFmt numFmtId="165" formatCode="#,##0.00\ &quot;€&quot;;[Red]#,##0.00\ &quot;€&quot;"/>
    <numFmt numFmtId="166" formatCode="#,##0.00\ &quot;€&quot;"/>
    <numFmt numFmtId="167" formatCode="d/m/yyyy;@"/>
    <numFmt numFmtId="168" formatCode="h:mm;@"/>
    <numFmt numFmtId="169" formatCode="0_)"/>
    <numFmt numFmtId="170" formatCode="0.00\ _)"/>
  </numFmts>
  <fonts count="21" x14ac:knownFonts="1">
    <font>
      <sz val="10"/>
      <name val="Arial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Wingdings"/>
      <charset val="2"/>
    </font>
    <font>
      <i/>
      <sz val="8"/>
      <name val="Arial"/>
      <family val="2"/>
    </font>
    <font>
      <sz val="11"/>
      <name val="Arial"/>
      <family val="2"/>
    </font>
    <font>
      <sz val="10"/>
      <name val="Calibri"/>
      <family val="2"/>
    </font>
    <font>
      <u/>
      <sz val="10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rgb="FF000000"/>
      <name val="Arial Unicode MS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name val="MS Sans Serif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28FBA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 tint="-4.9989318521683403E-2"/>
        <bgColor rgb="FF000000"/>
      </patternFill>
    </fill>
  </fills>
  <borders count="7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 style="thin">
        <color rgb="FF000000"/>
      </right>
      <top style="thin">
        <color theme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hair">
        <color auto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1"/>
      </left>
      <right/>
      <top style="hair">
        <color auto="1"/>
      </top>
      <bottom style="medium">
        <color auto="1"/>
      </bottom>
      <diagonal/>
    </border>
    <border>
      <left/>
      <right/>
      <top style="thin">
        <color theme="1"/>
      </top>
      <bottom style="medium">
        <color auto="1"/>
      </bottom>
      <diagonal/>
    </border>
  </borders>
  <cellStyleXfs count="9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3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/>
    <xf numFmtId="1" fontId="0" fillId="0" borderId="0" xfId="0" applyNumberFormat="1"/>
    <xf numFmtId="2" fontId="0" fillId="0" borderId="0" xfId="0" applyNumberFormat="1"/>
    <xf numFmtId="14" fontId="3" fillId="0" borderId="0" xfId="0" applyNumberFormat="1" applyFont="1" applyBorder="1" applyAlignment="1">
      <alignment vertical="center"/>
    </xf>
    <xf numFmtId="0" fontId="0" fillId="0" borderId="4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20" fontId="3" fillId="3" borderId="7" xfId="0" quotePrefix="1" applyNumberFormat="1" applyFont="1" applyFill="1" applyBorder="1" applyAlignment="1">
      <alignment vertical="center"/>
    </xf>
    <xf numFmtId="0" fontId="3" fillId="0" borderId="0" xfId="0" applyFont="1" applyFill="1" applyBorder="1"/>
    <xf numFmtId="1" fontId="0" fillId="0" borderId="5" xfId="0" applyNumberFormat="1" applyBorder="1"/>
    <xf numFmtId="0" fontId="3" fillId="0" borderId="0" xfId="0" quotePrefix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2" fillId="2" borderId="0" xfId="0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9" fontId="3" fillId="0" borderId="0" xfId="0" applyNumberFormat="1" applyFont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vertical="center"/>
    </xf>
    <xf numFmtId="166" fontId="0" fillId="0" borderId="0" xfId="0" applyNumberFormat="1"/>
    <xf numFmtId="7" fontId="3" fillId="0" borderId="0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left" vertical="center"/>
    </xf>
    <xf numFmtId="1" fontId="3" fillId="3" borderId="2" xfId="0" quotePrefix="1" applyNumberFormat="1" applyFont="1" applyFill="1" applyBorder="1" applyAlignment="1">
      <alignment horizontal="centerContinuous" vertical="center"/>
    </xf>
    <xf numFmtId="0" fontId="3" fillId="0" borderId="2" xfId="0" applyFont="1" applyBorder="1" applyAlignment="1">
      <alignment horizontal="left" vertical="center"/>
    </xf>
    <xf numFmtId="166" fontId="3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center" vertical="center"/>
    </xf>
    <xf numFmtId="0" fontId="3" fillId="3" borderId="2" xfId="0" quotePrefix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0" fontId="3" fillId="4" borderId="0" xfId="0" applyFont="1" applyFill="1" applyBorder="1" applyAlignment="1" applyProtection="1">
      <alignment vertical="center"/>
      <protection locked="0"/>
    </xf>
    <xf numFmtId="1" fontId="3" fillId="4" borderId="0" xfId="0" applyNumberFormat="1" applyFont="1" applyFill="1" applyBorder="1" applyAlignment="1" applyProtection="1">
      <alignment horizontal="center" vertical="center"/>
      <protection locked="0"/>
    </xf>
    <xf numFmtId="14" fontId="3" fillId="3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/>
    <xf numFmtId="49" fontId="14" fillId="0" borderId="0" xfId="0" applyNumberFormat="1" applyFont="1" applyBorder="1"/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0" xfId="0" applyFill="1" applyBorder="1"/>
    <xf numFmtId="164" fontId="3" fillId="3" borderId="0" xfId="0" applyNumberFormat="1" applyFont="1" applyFill="1" applyBorder="1" applyAlignment="1">
      <alignment vertical="center"/>
    </xf>
    <xf numFmtId="0" fontId="0" fillId="0" borderId="0" xfId="0" quotePrefix="1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/>
    </xf>
    <xf numFmtId="14" fontId="3" fillId="3" borderId="0" xfId="0" applyNumberFormat="1" applyFont="1" applyFill="1" applyBorder="1" applyAlignment="1" applyProtection="1">
      <alignment horizontal="center" vertical="center"/>
    </xf>
    <xf numFmtId="20" fontId="3" fillId="3" borderId="0" xfId="0" quotePrefix="1" applyNumberFormat="1" applyFont="1" applyFill="1" applyBorder="1" applyAlignment="1" applyProtection="1">
      <alignment horizontal="center" vertical="center"/>
    </xf>
    <xf numFmtId="165" fontId="3" fillId="3" borderId="0" xfId="0" applyNumberFormat="1" applyFont="1" applyFill="1" applyBorder="1" applyAlignment="1" applyProtection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quotePrefix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3" fillId="0" borderId="0" xfId="0" quotePrefix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165" fontId="11" fillId="0" borderId="0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14" fillId="0" borderId="8" xfId="0" applyFont="1" applyBorder="1"/>
    <xf numFmtId="0" fontId="14" fillId="0" borderId="9" xfId="0" applyFont="1" applyBorder="1"/>
    <xf numFmtId="49" fontId="14" fillId="0" borderId="0" xfId="0" applyNumberFormat="1" applyFont="1" applyFill="1" applyBorder="1"/>
    <xf numFmtId="0" fontId="14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14" fillId="6" borderId="10" xfId="0" applyFont="1" applyFill="1" applyBorder="1"/>
    <xf numFmtId="2" fontId="14" fillId="6" borderId="10" xfId="0" applyNumberFormat="1" applyFont="1" applyFill="1" applyBorder="1"/>
    <xf numFmtId="9" fontId="14" fillId="6" borderId="10" xfId="0" applyNumberFormat="1" applyFont="1" applyFill="1" applyBorder="1"/>
    <xf numFmtId="0" fontId="15" fillId="6" borderId="10" xfId="0" applyFont="1" applyFill="1" applyBorder="1"/>
    <xf numFmtId="0" fontId="14" fillId="0" borderId="10" xfId="0" applyFont="1" applyBorder="1"/>
    <xf numFmtId="2" fontId="14" fillId="0" borderId="10" xfId="0" applyNumberFormat="1" applyFont="1" applyBorder="1"/>
    <xf numFmtId="9" fontId="14" fillId="0" borderId="10" xfId="0" applyNumberFormat="1" applyFont="1" applyBorder="1"/>
    <xf numFmtId="0" fontId="15" fillId="0" borderId="10" xfId="0" applyFont="1" applyBorder="1"/>
    <xf numFmtId="0" fontId="0" fillId="0" borderId="0" xfId="0" applyFont="1" applyFill="1" applyBorder="1"/>
    <xf numFmtId="0" fontId="0" fillId="0" borderId="0" xfId="0" applyAlignment="1">
      <alignment vertical="center"/>
    </xf>
    <xf numFmtId="0" fontId="1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3" fillId="0" borderId="0" xfId="0" applyFont="1" applyFill="1"/>
    <xf numFmtId="0" fontId="0" fillId="0" borderId="0" xfId="0" applyFill="1"/>
    <xf numFmtId="1" fontId="0" fillId="0" borderId="31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36" xfId="0" applyBorder="1"/>
    <xf numFmtId="0" fontId="16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40" xfId="0" applyFont="1" applyBorder="1" applyAlignment="1">
      <alignment horizontal="centerContinuous" vertical="center"/>
    </xf>
    <xf numFmtId="0" fontId="2" fillId="0" borderId="41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0" borderId="49" xfId="0" applyFont="1" applyBorder="1" applyAlignment="1">
      <alignment horizontal="centerContinuous" vertical="center"/>
    </xf>
    <xf numFmtId="0" fontId="13" fillId="0" borderId="4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/>
    </xf>
    <xf numFmtId="0" fontId="0" fillId="0" borderId="62" xfId="0" applyBorder="1" applyAlignment="1">
      <alignment vertical="center"/>
    </xf>
    <xf numFmtId="0" fontId="18" fillId="0" borderId="66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 vertical="center"/>
    </xf>
    <xf numFmtId="0" fontId="2" fillId="0" borderId="7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167" fontId="3" fillId="4" borderId="0" xfId="0" applyNumberFormat="1" applyFont="1" applyFill="1" applyBorder="1" applyAlignment="1" applyProtection="1">
      <alignment horizontal="left" vertical="center"/>
      <protection locked="0"/>
    </xf>
    <xf numFmtId="0" fontId="4" fillId="7" borderId="61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169" fontId="0" fillId="0" borderId="57" xfId="0" applyNumberFormat="1" applyBorder="1" applyAlignment="1" applyProtection="1">
      <alignment vertical="center"/>
      <protection locked="0"/>
    </xf>
    <xf numFmtId="2" fontId="0" fillId="0" borderId="25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2" fontId="0" fillId="0" borderId="52" xfId="0" applyNumberFormat="1" applyBorder="1" applyAlignment="1" applyProtection="1">
      <alignment vertical="center"/>
      <protection locked="0"/>
    </xf>
    <xf numFmtId="170" fontId="0" fillId="0" borderId="26" xfId="0" applyNumberFormat="1" applyBorder="1" applyAlignment="1" applyProtection="1">
      <alignment vertical="center"/>
      <protection locked="0"/>
    </xf>
    <xf numFmtId="169" fontId="0" fillId="0" borderId="58" xfId="0" applyNumberFormat="1" applyBorder="1" applyAlignment="1" applyProtection="1">
      <alignment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2" fontId="0" fillId="0" borderId="55" xfId="0" applyNumberFormat="1" applyBorder="1" applyAlignment="1" applyProtection="1">
      <alignment vertical="center"/>
      <protection locked="0"/>
    </xf>
    <xf numFmtId="2" fontId="0" fillId="0" borderId="43" xfId="0" applyNumberFormat="1" applyBorder="1" applyAlignment="1" applyProtection="1">
      <alignment vertical="center"/>
      <protection locked="0"/>
    </xf>
    <xf numFmtId="169" fontId="0" fillId="0" borderId="27" xfId="0" applyNumberFormat="1" applyBorder="1" applyAlignment="1" applyProtection="1">
      <alignment vertical="center"/>
      <protection locked="0"/>
    </xf>
    <xf numFmtId="2" fontId="0" fillId="0" borderId="59" xfId="0" applyNumberFormat="1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169" fontId="0" fillId="0" borderId="27" xfId="0" applyNumberFormat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vertical="center"/>
      <protection locked="0"/>
    </xf>
    <xf numFmtId="170" fontId="0" fillId="0" borderId="28" xfId="0" applyNumberFormat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169" fontId="0" fillId="0" borderId="60" xfId="0" applyNumberForma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2" fontId="0" fillId="0" borderId="44" xfId="0" applyNumberFormat="1" applyBorder="1" applyAlignment="1" applyProtection="1">
      <alignment vertical="center"/>
      <protection locked="0"/>
    </xf>
    <xf numFmtId="170" fontId="0" fillId="0" borderId="34" xfId="0" applyNumberFormat="1" applyBorder="1" applyAlignment="1" applyProtection="1">
      <alignment vertical="center"/>
      <protection locked="0"/>
    </xf>
    <xf numFmtId="170" fontId="4" fillId="0" borderId="35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" fontId="13" fillId="0" borderId="27" xfId="0" applyNumberFormat="1" applyFont="1" applyBorder="1" applyAlignment="1" applyProtection="1">
      <alignment vertical="center"/>
      <protection locked="0"/>
    </xf>
    <xf numFmtId="1" fontId="13" fillId="0" borderId="73" xfId="0" applyNumberFormat="1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166" fontId="3" fillId="3" borderId="0" xfId="0" quotePrefix="1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right" vertical="center"/>
    </xf>
    <xf numFmtId="165" fontId="3" fillId="4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4" borderId="0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167" fontId="0" fillId="4" borderId="0" xfId="0" applyNumberFormat="1" applyFont="1" applyFill="1" applyBorder="1" applyAlignment="1" applyProtection="1">
      <alignment horizontal="center" vertical="center"/>
      <protection locked="0"/>
    </xf>
    <xf numFmtId="167" fontId="3" fillId="4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center"/>
    </xf>
    <xf numFmtId="168" fontId="0" fillId="4" borderId="0" xfId="0" quotePrefix="1" applyNumberFormat="1" applyFont="1" applyFill="1" applyBorder="1" applyAlignment="1" applyProtection="1">
      <alignment horizontal="center" vertical="center"/>
      <protection locked="0"/>
    </xf>
    <xf numFmtId="168" fontId="3" fillId="4" borderId="0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ont="1" applyBorder="1" applyAlignment="1" applyProtection="1">
      <alignment horizontal="left" vertical="center"/>
      <protection locked="0"/>
    </xf>
    <xf numFmtId="14" fontId="3" fillId="0" borderId="0" xfId="0" applyNumberFormat="1" applyFont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0" fillId="4" borderId="0" xfId="0" quotePrefix="1" applyFont="1" applyFill="1" applyBorder="1" applyAlignment="1" applyProtection="1">
      <alignment horizontal="left" vertical="center"/>
      <protection locked="0"/>
    </xf>
    <xf numFmtId="1" fontId="13" fillId="0" borderId="72" xfId="0" applyNumberFormat="1" applyFont="1" applyBorder="1" applyAlignment="1" applyProtection="1">
      <alignment horizontal="center" vertical="center"/>
      <protection locked="0"/>
    </xf>
    <xf numFmtId="1" fontId="13" fillId="0" borderId="67" xfId="0" applyNumberFormat="1" applyFont="1" applyBorder="1" applyAlignment="1" applyProtection="1">
      <alignment horizontal="center" vertical="center"/>
      <protection locked="0"/>
    </xf>
    <xf numFmtId="2" fontId="0" fillId="0" borderId="75" xfId="0" applyNumberFormat="1" applyBorder="1" applyAlignment="1" applyProtection="1">
      <alignment horizontal="center" vertical="center"/>
      <protection locked="0"/>
    </xf>
    <xf numFmtId="2" fontId="0" fillId="0" borderId="69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7" borderId="18" xfId="0" applyFont="1" applyFill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14" fontId="4" fillId="7" borderId="64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" fontId="13" fillId="0" borderId="71" xfId="0" applyNumberFormat="1" applyFont="1" applyBorder="1" applyAlignment="1" applyProtection="1">
      <alignment horizontal="center" vertical="center"/>
      <protection locked="0"/>
    </xf>
    <xf numFmtId="1" fontId="13" fillId="0" borderId="68" xfId="0" applyNumberFormat="1" applyFont="1" applyBorder="1" applyAlignment="1" applyProtection="1">
      <alignment horizontal="center" vertical="center"/>
      <protection locked="0"/>
    </xf>
    <xf numFmtId="1" fontId="13" fillId="0" borderId="74" xfId="0" applyNumberFormat="1" applyFont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18" xfId="0" quotePrefix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" fillId="7" borderId="38" xfId="0" applyFont="1" applyFill="1" applyBorder="1" applyAlignment="1" applyProtection="1">
      <alignment horizontal="center" vertical="center"/>
      <protection locked="0"/>
    </xf>
    <xf numFmtId="0" fontId="4" fillId="7" borderId="15" xfId="0" applyFont="1" applyFill="1" applyBorder="1" applyAlignment="1" applyProtection="1">
      <alignment horizontal="center" vertical="center"/>
      <protection locked="0"/>
    </xf>
    <xf numFmtId="0" fontId="16" fillId="0" borderId="63" xfId="0" applyFont="1" applyBorder="1" applyAlignment="1">
      <alignment horizontal="center" vertical="center"/>
    </xf>
  </cellXfs>
  <cellStyles count="9">
    <cellStyle name="Besuchter Hyperlink" xfId="8" builtinId="9" hidden="1"/>
    <cellStyle name="Besuchter Hyperlink" xfId="4" builtinId="9" hidden="1"/>
    <cellStyle name="Besuchter Hyperlink" xfId="6" builtinId="9" hidden="1"/>
    <cellStyle name="Besuchter Hyperlink" xfId="2" builtinId="9" hidden="1"/>
    <cellStyle name="Link" xfId="5" builtinId="8" hidden="1"/>
    <cellStyle name="Link" xfId="7" builtinId="8" hidden="1"/>
    <cellStyle name="Link" xfId="3" builtinId="8" hidden="1"/>
    <cellStyle name="Link" xfId="1" builtinId="8" hidden="1"/>
    <cellStyle name="Standard" xfId="0" builtinId="0"/>
  </cellStyles>
  <dxfs count="2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69696"/>
      </font>
    </dxf>
    <dxf>
      <font>
        <color rgb="FF969696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0</xdr:row>
      <xdr:rowOff>57150</xdr:rowOff>
    </xdr:from>
    <xdr:to>
      <xdr:col>13</xdr:col>
      <xdr:colOff>381000</xdr:colOff>
      <xdr:row>1</xdr:row>
      <xdr:rowOff>342900</xdr:rowOff>
    </xdr:to>
    <xdr:pic>
      <xdr:nvPicPr>
        <xdr:cNvPr id="1045" name="Grafik 1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7150"/>
          <a:ext cx="352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404211</xdr:colOff>
      <xdr:row>0</xdr:row>
      <xdr:rowOff>15706</xdr:rowOff>
    </xdr:from>
    <xdr:to>
      <xdr:col>10</xdr:col>
      <xdr:colOff>756636</xdr:colOff>
      <xdr:row>0</xdr:row>
      <xdr:rowOff>428456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2837" y="15706"/>
          <a:ext cx="352425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showWhiteSpace="0" topLeftCell="A42" zoomScale="130" zoomScaleNormal="130" zoomScaleSheetLayoutView="100" zoomScalePageLayoutView="130" workbookViewId="0">
      <selection activeCell="E20" sqref="E20:H20"/>
    </sheetView>
  </sheetViews>
  <sheetFormatPr baseColWidth="10" defaultColWidth="11" defaultRowHeight="12.75" x14ac:dyDescent="0.2"/>
  <cols>
    <col min="1" max="1" width="17.28515625" style="19" customWidth="1"/>
    <col min="2" max="2" width="4.7109375" style="19" customWidth="1"/>
    <col min="3" max="3" width="5.85546875" style="19" customWidth="1"/>
    <col min="4" max="4" width="8.42578125" style="19" customWidth="1"/>
    <col min="5" max="5" width="3.42578125" style="19" customWidth="1"/>
    <col min="6" max="6" width="1.7109375" style="19" customWidth="1"/>
    <col min="7" max="7" width="4.7109375" style="19" customWidth="1"/>
    <col min="8" max="8" width="6.85546875" style="19" customWidth="1"/>
    <col min="9" max="9" width="8.42578125" style="19" customWidth="1"/>
    <col min="10" max="10" width="2.28515625" style="19" customWidth="1"/>
    <col min="11" max="11" width="11.7109375" style="19" customWidth="1"/>
    <col min="12" max="12" width="2.85546875" style="19" customWidth="1"/>
    <col min="13" max="13" width="2.42578125" style="19" customWidth="1"/>
    <col min="14" max="14" width="12" style="19" customWidth="1"/>
    <col min="15" max="15" width="5" style="19" customWidth="1"/>
    <col min="16" max="16384" width="11" style="19"/>
  </cols>
  <sheetData>
    <row r="1" spans="1:14" ht="9.9499999999999993" customHeight="1" x14ac:dyDescent="0.2"/>
    <row r="2" spans="1:14" ht="29.1" customHeight="1" x14ac:dyDescent="0.2">
      <c r="A2" s="43"/>
      <c r="B2" s="202" t="s">
        <v>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43"/>
      <c r="N2" s="43"/>
    </row>
    <row r="3" spans="1:14" ht="11.45" customHeight="1" x14ac:dyDescent="0.2">
      <c r="A3" s="20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 t="s">
        <v>140</v>
      </c>
    </row>
    <row r="4" spans="1:14" ht="15" customHeight="1" x14ac:dyDescent="0.2">
      <c r="A4" s="22" t="s">
        <v>2</v>
      </c>
      <c r="B4" s="1"/>
      <c r="C4" s="1"/>
      <c r="D4" s="1"/>
      <c r="E4" s="1"/>
      <c r="F4" s="1"/>
      <c r="G4" s="1"/>
      <c r="H4" s="203" t="s">
        <v>3</v>
      </c>
      <c r="I4" s="203"/>
      <c r="J4" s="203"/>
      <c r="K4" s="203"/>
      <c r="L4" s="203"/>
      <c r="M4" s="203"/>
      <c r="N4" s="203"/>
    </row>
    <row r="5" spans="1:14" ht="9.9499999999999993" customHeight="1" x14ac:dyDescent="0.2">
      <c r="A5" s="1"/>
      <c r="B5" s="1"/>
      <c r="C5" s="1"/>
      <c r="D5" s="1"/>
      <c r="E5" s="1"/>
      <c r="F5" s="1"/>
      <c r="G5" s="1"/>
      <c r="H5" s="23" t="s">
        <v>4</v>
      </c>
      <c r="I5" s="23"/>
      <c r="J5" s="23"/>
      <c r="K5" s="23"/>
      <c r="L5" s="23"/>
      <c r="M5" s="23"/>
      <c r="N5" s="23"/>
    </row>
    <row r="6" spans="1:14" ht="15" customHeight="1" x14ac:dyDescent="0.2">
      <c r="A6" s="22" t="s">
        <v>5</v>
      </c>
      <c r="B6" s="204" t="s">
        <v>90</v>
      </c>
      <c r="C6" s="204"/>
      <c r="D6" s="204"/>
      <c r="E6" s="204"/>
      <c r="F6" s="204"/>
      <c r="G6" s="1"/>
      <c r="H6" s="203" t="s">
        <v>6</v>
      </c>
      <c r="I6" s="203"/>
      <c r="J6" s="203"/>
      <c r="K6" s="203"/>
      <c r="L6" s="203"/>
      <c r="M6" s="203"/>
      <c r="N6" s="203"/>
    </row>
    <row r="7" spans="1:14" ht="9.9499999999999993" customHeight="1" x14ac:dyDescent="0.2">
      <c r="A7" s="1" t="s">
        <v>1</v>
      </c>
      <c r="B7" s="1"/>
      <c r="C7" s="1"/>
      <c r="D7" s="1"/>
      <c r="E7" s="1"/>
      <c r="F7" s="1"/>
      <c r="G7" s="1"/>
      <c r="H7" s="23" t="s">
        <v>7</v>
      </c>
      <c r="I7" s="23"/>
      <c r="J7" s="23"/>
      <c r="K7" s="23"/>
      <c r="L7" s="23"/>
      <c r="M7" s="23"/>
      <c r="N7" s="23"/>
    </row>
    <row r="8" spans="1:14" ht="15" customHeight="1" x14ac:dyDescent="0.2">
      <c r="A8" s="205" t="str">
        <f>VLOOKUP($B$6,Tagessätze!$A$3:$P$9,13)</f>
        <v>Eva Oswald</v>
      </c>
      <c r="B8" s="205"/>
      <c r="C8" s="205"/>
      <c r="D8" s="205"/>
      <c r="E8" s="205"/>
      <c r="F8" s="205"/>
      <c r="G8" s="1"/>
      <c r="H8" s="203" t="s">
        <v>8</v>
      </c>
      <c r="I8" s="203"/>
      <c r="J8" s="203"/>
      <c r="K8" s="203"/>
      <c r="L8" s="203"/>
      <c r="M8" s="203"/>
      <c r="N8" s="203"/>
    </row>
    <row r="9" spans="1:14" ht="9.9499999999999993" customHeight="1" x14ac:dyDescent="0.2">
      <c r="A9" s="93" t="s">
        <v>1</v>
      </c>
      <c r="B9" s="1" t="s">
        <v>1</v>
      </c>
      <c r="C9" s="1"/>
      <c r="D9" s="42"/>
      <c r="E9" s="1"/>
      <c r="F9" s="1"/>
      <c r="G9" s="1"/>
      <c r="H9" s="23" t="s">
        <v>9</v>
      </c>
      <c r="I9" s="23"/>
      <c r="J9" s="23"/>
      <c r="K9" s="23"/>
      <c r="L9" s="23"/>
      <c r="M9" s="23"/>
      <c r="N9" s="23"/>
    </row>
    <row r="10" spans="1:14" ht="14.85" customHeight="1" x14ac:dyDescent="0.2">
      <c r="A10" s="205" t="str">
        <f>VLOOKUP($B$6,Tagessätze!$A$3:$P$9,14)</f>
        <v>Georg-Brauchle-Ring 93</v>
      </c>
      <c r="B10" s="205"/>
      <c r="C10" s="205"/>
      <c r="D10" s="205"/>
      <c r="E10" s="205"/>
      <c r="F10" s="205"/>
      <c r="G10" s="1"/>
      <c r="H10" s="203" t="s">
        <v>10</v>
      </c>
      <c r="I10" s="203"/>
      <c r="J10" s="203"/>
      <c r="K10" s="203"/>
      <c r="L10" s="203"/>
      <c r="M10" s="203"/>
      <c r="N10" s="203"/>
    </row>
    <row r="11" spans="1:14" ht="9.9499999999999993" customHeight="1" x14ac:dyDescent="0.2">
      <c r="A11" s="1"/>
      <c r="B11" s="25"/>
      <c r="C11" s="1"/>
      <c r="D11" s="1"/>
      <c r="E11" s="1"/>
      <c r="F11" s="1"/>
      <c r="G11" s="1"/>
      <c r="H11" s="23" t="s">
        <v>11</v>
      </c>
      <c r="I11" s="23"/>
      <c r="J11" s="23"/>
      <c r="K11" s="23"/>
      <c r="L11" s="23"/>
      <c r="M11" s="23"/>
      <c r="N11" s="23"/>
    </row>
    <row r="12" spans="1:14" ht="14.85" customHeight="1" x14ac:dyDescent="0.2">
      <c r="A12" s="205" t="str">
        <f>CONCATENATE(VLOOKUP($B$6,Tagessätze!$A$3:$P$9,15)," ",VLOOKUP($B$6,Tagessätze!$A$3:$P$9,16))</f>
        <v>80992 München</v>
      </c>
      <c r="B12" s="205"/>
      <c r="C12" s="205"/>
      <c r="D12" s="205"/>
      <c r="E12" s="205"/>
      <c r="F12" s="205"/>
      <c r="G12" s="1"/>
      <c r="H12" s="206" t="s">
        <v>12</v>
      </c>
      <c r="I12" s="206"/>
      <c r="J12" s="206"/>
      <c r="K12" s="206"/>
      <c r="L12" s="26"/>
      <c r="M12" s="182" t="s">
        <v>13</v>
      </c>
      <c r="N12" s="182"/>
    </row>
    <row r="13" spans="1:14" ht="9.9499999999999993" customHeight="1" x14ac:dyDescent="0.2">
      <c r="A13" s="1"/>
      <c r="B13" s="1"/>
      <c r="C13" s="1"/>
      <c r="D13" s="1"/>
      <c r="E13" s="1"/>
      <c r="F13" s="1"/>
      <c r="G13" s="1"/>
      <c r="H13" s="195" t="s">
        <v>14</v>
      </c>
      <c r="I13" s="195"/>
      <c r="J13" s="195"/>
      <c r="K13" s="195"/>
      <c r="L13" s="24"/>
      <c r="M13" s="195" t="s">
        <v>15</v>
      </c>
      <c r="N13" s="195"/>
    </row>
    <row r="14" spans="1:14" ht="6.9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s="68" customFormat="1" ht="2.85" customHeight="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.75" customHeight="1" x14ac:dyDescent="0.2">
      <c r="A16" s="70" t="s">
        <v>16</v>
      </c>
      <c r="B16" s="183" t="s">
        <v>17</v>
      </c>
      <c r="C16" s="183"/>
      <c r="D16" s="183"/>
      <c r="E16" s="183"/>
      <c r="F16" s="183"/>
      <c r="G16" s="93" t="s">
        <v>18</v>
      </c>
      <c r="H16" s="183" t="s">
        <v>19</v>
      </c>
      <c r="I16" s="183"/>
      <c r="J16" s="183"/>
      <c r="K16" s="183"/>
      <c r="L16" s="1" t="s">
        <v>20</v>
      </c>
      <c r="M16" s="93"/>
      <c r="N16" s="93"/>
    </row>
    <row r="17" spans="1:14" ht="2.8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70" t="s">
        <v>21</v>
      </c>
      <c r="B18" s="1"/>
      <c r="C18" s="10"/>
      <c r="D18" s="93" t="s">
        <v>22</v>
      </c>
      <c r="E18" s="193">
        <v>42918</v>
      </c>
      <c r="F18" s="194"/>
      <c r="G18" s="194"/>
      <c r="H18" s="194"/>
      <c r="I18" s="93" t="s">
        <v>23</v>
      </c>
      <c r="J18" s="196">
        <v>0.27083333333333331</v>
      </c>
      <c r="K18" s="197"/>
      <c r="L18" s="89" t="s">
        <v>24</v>
      </c>
      <c r="M18" s="1"/>
      <c r="N18" s="10"/>
    </row>
    <row r="19" spans="1:14" ht="2.85" customHeight="1" x14ac:dyDescent="0.2">
      <c r="A19" s="1"/>
      <c r="B19" s="1"/>
      <c r="C19" s="1"/>
      <c r="I19" s="1"/>
      <c r="J19" s="1"/>
      <c r="K19" s="1"/>
      <c r="L19" s="1"/>
      <c r="M19" s="1"/>
      <c r="N19" s="1"/>
    </row>
    <row r="20" spans="1:14" x14ac:dyDescent="0.2">
      <c r="A20" s="70" t="s">
        <v>25</v>
      </c>
      <c r="B20" s="1"/>
      <c r="C20" s="10"/>
      <c r="D20" s="93" t="s">
        <v>22</v>
      </c>
      <c r="E20" s="193">
        <v>42919</v>
      </c>
      <c r="F20" s="194"/>
      <c r="G20" s="194"/>
      <c r="H20" s="194"/>
      <c r="I20" s="93" t="s">
        <v>23</v>
      </c>
      <c r="J20" s="196">
        <v>0.77083333333333337</v>
      </c>
      <c r="K20" s="197"/>
      <c r="L20" s="89" t="s">
        <v>24</v>
      </c>
      <c r="M20" s="1"/>
      <c r="N20" s="10"/>
    </row>
    <row r="21" spans="1:14" ht="2.85" customHeight="1" x14ac:dyDescent="0.2">
      <c r="A21" s="2"/>
      <c r="B21" s="1"/>
      <c r="C21" s="10"/>
      <c r="D21" s="93"/>
      <c r="E21" s="72"/>
      <c r="F21" s="60"/>
      <c r="G21" s="72"/>
      <c r="H21" s="72"/>
      <c r="I21" s="93"/>
      <c r="J21" s="73"/>
      <c r="K21" s="73"/>
      <c r="L21" s="89"/>
      <c r="M21" s="1"/>
      <c r="N21" s="10"/>
    </row>
    <row r="22" spans="1:14" ht="11.1" customHeight="1" x14ac:dyDescent="0.2">
      <c r="A22" s="70" t="s">
        <v>26</v>
      </c>
      <c r="B22" s="1"/>
      <c r="C22" s="1"/>
      <c r="D22" s="61">
        <v>0</v>
      </c>
      <c r="E22" s="198" t="str">
        <f>IF(AND(D22 &lt;&gt; "", D22 &gt; 0), IF(D22 = 1, "an folgendem Tag:","an folgenden Tagen:"),"")</f>
        <v/>
      </c>
      <c r="F22" s="199"/>
      <c r="G22" s="199"/>
      <c r="H22" s="199"/>
      <c r="I22" s="200" t="s">
        <v>142</v>
      </c>
      <c r="J22" s="201"/>
      <c r="K22" s="201"/>
      <c r="L22" s="201"/>
      <c r="M22" s="201"/>
      <c r="N22" s="201"/>
    </row>
    <row r="23" spans="1:14" ht="9" customHeight="1" x14ac:dyDescent="0.2">
      <c r="A23" s="1"/>
      <c r="B23" s="1"/>
      <c r="C23" s="1"/>
      <c r="D23" s="1"/>
      <c r="E23" s="1"/>
      <c r="F23" s="1"/>
      <c r="G23" s="93" t="s">
        <v>1</v>
      </c>
      <c r="H23" s="93"/>
      <c r="I23" s="1"/>
      <c r="J23" s="1"/>
      <c r="K23" s="1"/>
      <c r="L23" s="1"/>
      <c r="M23" s="1"/>
      <c r="N23" s="1"/>
    </row>
    <row r="24" spans="1:14" ht="15.2" customHeight="1" x14ac:dyDescent="0.2">
      <c r="A24" s="70" t="s">
        <v>27</v>
      </c>
      <c r="B24" s="182" t="s">
        <v>28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</row>
    <row r="25" spans="1:14" x14ac:dyDescent="0.2">
      <c r="A25" s="1"/>
      <c r="B25" s="32" t="s">
        <v>29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6.95" customHeight="1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s="68" customFormat="1" ht="2.85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5" customHeight="1" x14ac:dyDescent="0.2">
      <c r="A28" s="28" t="s">
        <v>30</v>
      </c>
      <c r="B28" s="71" t="s">
        <v>31</v>
      </c>
      <c r="C28" s="2"/>
      <c r="D28" s="1"/>
      <c r="E28" s="1"/>
      <c r="F28" s="58">
        <v>2</v>
      </c>
      <c r="G28" s="178" t="s">
        <v>32</v>
      </c>
      <c r="H28" s="178"/>
      <c r="I28" s="18" t="s">
        <v>33</v>
      </c>
      <c r="J28" s="187">
        <v>0</v>
      </c>
      <c r="K28" s="187"/>
      <c r="L28" s="1"/>
      <c r="M28" s="1"/>
      <c r="N28" s="1"/>
    </row>
    <row r="29" spans="1:14" ht="3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3"/>
      <c r="L29" s="1"/>
      <c r="M29" s="1"/>
      <c r="N29" s="1"/>
    </row>
    <row r="30" spans="1:14" ht="12" customHeight="1" x14ac:dyDescent="0.2">
      <c r="A30" s="88" t="s">
        <v>1</v>
      </c>
      <c r="B30" s="89" t="s">
        <v>34</v>
      </c>
      <c r="C30" s="2"/>
      <c r="D30" s="1"/>
      <c r="E30" s="1"/>
      <c r="F30" s="1"/>
      <c r="G30" s="1"/>
      <c r="H30" s="184"/>
      <c r="I30" s="184"/>
      <c r="J30" s="1"/>
      <c r="K30" s="3"/>
      <c r="L30" s="1"/>
      <c r="M30" s="1"/>
      <c r="N30" s="1"/>
    </row>
    <row r="31" spans="1:14" ht="15" customHeight="1" x14ac:dyDescent="0.2">
      <c r="A31" s="93"/>
      <c r="B31" s="62"/>
      <c r="C31" s="93"/>
      <c r="D31" s="59">
        <v>90</v>
      </c>
      <c r="E31" s="93" t="s">
        <v>35</v>
      </c>
      <c r="F31" s="93" t="s">
        <v>36</v>
      </c>
      <c r="G31" s="185">
        <f>VLOOKUP($B$6,Tagessätze!$A$3:$P$9,2)</f>
        <v>0.25</v>
      </c>
      <c r="H31" s="185"/>
      <c r="I31" s="18" t="s">
        <v>33</v>
      </c>
      <c r="J31" s="186">
        <f>IF(D31 &lt;&gt; "",D31*G31,0)</f>
        <v>22.5</v>
      </c>
      <c r="K31" s="186"/>
      <c r="L31" s="93"/>
      <c r="M31" s="39"/>
      <c r="N31" s="30"/>
    </row>
    <row r="32" spans="1:14" ht="3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  <c r="N32" s="1"/>
    </row>
    <row r="33" spans="1:14" x14ac:dyDescent="0.2">
      <c r="A33" s="88" t="s">
        <v>1</v>
      </c>
      <c r="B33" s="71" t="s">
        <v>37</v>
      </c>
      <c r="C33" s="2"/>
      <c r="D33" s="1"/>
      <c r="E33" s="1"/>
      <c r="F33" s="1"/>
      <c r="G33" s="1"/>
      <c r="H33" s="184"/>
      <c r="I33" s="184"/>
      <c r="J33" s="1"/>
      <c r="K33" s="3"/>
      <c r="L33" s="1"/>
      <c r="M33" s="1"/>
      <c r="N33" s="1"/>
    </row>
    <row r="34" spans="1:14" ht="15" customHeight="1" x14ac:dyDescent="0.2">
      <c r="A34" s="93"/>
      <c r="B34" s="92">
        <v>0</v>
      </c>
      <c r="C34" s="63" t="s">
        <v>36</v>
      </c>
      <c r="D34" s="59">
        <v>0</v>
      </c>
      <c r="E34" s="18" t="s">
        <v>35</v>
      </c>
      <c r="F34" s="93" t="s">
        <v>36</v>
      </c>
      <c r="G34" s="185">
        <f>VLOOKUP($B$6,Tagessätze!$A$3:$P$9,3)</f>
        <v>0.02</v>
      </c>
      <c r="H34" s="185"/>
      <c r="I34" s="18" t="s">
        <v>33</v>
      </c>
      <c r="J34" s="186">
        <f>B34*D34*G34</f>
        <v>0</v>
      </c>
      <c r="K34" s="186"/>
      <c r="L34" s="93"/>
      <c r="M34" s="39"/>
      <c r="N34" s="30"/>
    </row>
    <row r="35" spans="1:14" ht="15" customHeight="1" x14ac:dyDescent="0.2">
      <c r="A35" s="1"/>
      <c r="B35" s="89" t="str">
        <f>IF(B34 = 0, "",IF(H33 = "1 Person", "Namen des Mitfahrers:","Namen der Mitfahrer:"))</f>
        <v/>
      </c>
      <c r="C35" s="2"/>
      <c r="D35" s="1"/>
      <c r="E35" s="1"/>
      <c r="F35" s="1"/>
      <c r="G35" s="1"/>
      <c r="H35" s="1"/>
      <c r="I35" s="1"/>
      <c r="J35" s="1"/>
      <c r="K35" s="3"/>
      <c r="L35" s="1"/>
      <c r="M35" s="93"/>
      <c r="N35" s="29"/>
    </row>
    <row r="36" spans="1:14" ht="15" customHeight="1" x14ac:dyDescent="0.2">
      <c r="A36" s="1"/>
      <c r="B36" s="183" t="s">
        <v>38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"/>
      <c r="M36" s="93"/>
      <c r="N36" s="29"/>
    </row>
    <row r="37" spans="1:14" ht="3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3"/>
      <c r="L37" s="1"/>
      <c r="M37" s="93"/>
      <c r="N37" s="29"/>
    </row>
    <row r="38" spans="1:14" ht="15" customHeight="1" x14ac:dyDescent="0.2">
      <c r="A38" s="1"/>
      <c r="B38" s="89" t="s">
        <v>39</v>
      </c>
      <c r="C38" s="2"/>
      <c r="D38" s="1"/>
      <c r="E38" s="1"/>
      <c r="F38" s="1"/>
      <c r="G38" s="1"/>
      <c r="H38" s="1"/>
      <c r="I38" s="18" t="s">
        <v>33</v>
      </c>
      <c r="J38" s="187">
        <v>0</v>
      </c>
      <c r="K38" s="187"/>
      <c r="L38" s="1"/>
      <c r="M38" s="93"/>
      <c r="N38" s="29"/>
    </row>
    <row r="39" spans="1:14" ht="3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3"/>
      <c r="L39" s="1"/>
      <c r="M39" s="93"/>
      <c r="N39" s="29"/>
    </row>
    <row r="40" spans="1:14" ht="15" customHeight="1" x14ac:dyDescent="0.2">
      <c r="A40" s="1"/>
      <c r="B40" s="71" t="s">
        <v>40</v>
      </c>
      <c r="C40" s="2"/>
      <c r="D40" s="182"/>
      <c r="E40" s="182"/>
      <c r="F40" s="182"/>
      <c r="G40" s="182"/>
      <c r="H40" s="182"/>
      <c r="I40" s="18" t="s">
        <v>33</v>
      </c>
      <c r="J40" s="187">
        <v>0</v>
      </c>
      <c r="K40" s="187"/>
      <c r="L40" s="33" t="s">
        <v>41</v>
      </c>
      <c r="M40" s="18" t="s">
        <v>33</v>
      </c>
      <c r="N40" s="40">
        <f>J28+J31+J34+J38+J40</f>
        <v>22.5</v>
      </c>
    </row>
    <row r="41" spans="1:14" s="83" customFormat="1" ht="12.95" customHeight="1" x14ac:dyDescent="0.2">
      <c r="A41" s="76"/>
      <c r="B41" s="77"/>
      <c r="C41" s="78"/>
      <c r="D41" s="79" t="s">
        <v>42</v>
      </c>
      <c r="E41" s="76"/>
      <c r="F41" s="76"/>
      <c r="G41" s="76"/>
      <c r="H41" s="76"/>
      <c r="I41" s="80"/>
      <c r="J41" s="74"/>
      <c r="K41" s="74"/>
      <c r="L41" s="81"/>
      <c r="M41" s="80"/>
      <c r="N41" s="82"/>
    </row>
    <row r="42" spans="1:14" ht="6.95" customHeight="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  <c r="N42" s="46"/>
    </row>
    <row r="43" spans="1:14" s="68" customFormat="1" ht="2.85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39"/>
      <c r="N43" s="69"/>
    </row>
    <row r="44" spans="1:14" ht="12" customHeight="1" x14ac:dyDescent="0.2">
      <c r="A44" s="28" t="s">
        <v>43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3"/>
      <c r="N44" s="29"/>
    </row>
    <row r="45" spans="1:14" ht="15" customHeight="1" x14ac:dyDescent="0.2">
      <c r="A45" s="28" t="s">
        <v>44</v>
      </c>
      <c r="B45" s="92">
        <v>0</v>
      </c>
      <c r="C45" s="192" t="s">
        <v>45</v>
      </c>
      <c r="D45" s="192"/>
      <c r="E45" s="187">
        <v>0</v>
      </c>
      <c r="F45" s="187"/>
      <c r="G45" s="187"/>
      <c r="H45" s="178" t="s">
        <v>46</v>
      </c>
      <c r="I45" s="178"/>
      <c r="J45" s="178"/>
      <c r="K45" s="178"/>
      <c r="L45" s="33" t="s">
        <v>41</v>
      </c>
      <c r="M45" s="18" t="s">
        <v>33</v>
      </c>
      <c r="N45" s="40">
        <f>B45*E45</f>
        <v>0</v>
      </c>
    </row>
    <row r="46" spans="1:14" ht="2.85" customHeight="1" x14ac:dyDescent="0.2">
      <c r="A46" s="28"/>
      <c r="B46" s="91"/>
      <c r="C46" s="62"/>
      <c r="D46" s="62"/>
      <c r="E46" s="74"/>
      <c r="F46" s="74"/>
      <c r="G46" s="74"/>
      <c r="H46" s="89"/>
      <c r="I46" s="89"/>
      <c r="J46" s="89"/>
      <c r="K46" s="89"/>
      <c r="L46" s="33"/>
      <c r="M46" s="18"/>
      <c r="N46" s="40"/>
    </row>
    <row r="47" spans="1:14" ht="6.95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</row>
    <row r="48" spans="1:14" s="68" customFormat="1" ht="2.85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69"/>
    </row>
    <row r="49" spans="1:14" ht="12" customHeight="1" x14ac:dyDescent="0.2">
      <c r="A49" s="28" t="s">
        <v>47</v>
      </c>
      <c r="B49" s="89" t="s">
        <v>48</v>
      </c>
      <c r="C49" s="89"/>
      <c r="D49" s="5"/>
      <c r="E49" s="5"/>
      <c r="F49" s="5"/>
      <c r="G49" s="1"/>
      <c r="H49" s="1"/>
      <c r="I49" s="1"/>
      <c r="J49" s="1"/>
      <c r="K49" s="1"/>
      <c r="L49" s="1"/>
      <c r="M49" s="93"/>
      <c r="N49" s="29"/>
    </row>
    <row r="50" spans="1:14" ht="6.2" customHeight="1" x14ac:dyDescent="0.2">
      <c r="A50" s="89"/>
      <c r="B50" s="89"/>
      <c r="C50" s="5"/>
      <c r="D50" s="5"/>
      <c r="E50" s="5"/>
      <c r="F50" s="5"/>
      <c r="G50" s="1"/>
      <c r="H50" s="1"/>
      <c r="I50" s="1"/>
      <c r="J50" s="1"/>
      <c r="K50" s="1"/>
      <c r="L50" s="1"/>
      <c r="M50" s="93"/>
      <c r="N50" s="29"/>
    </row>
    <row r="51" spans="1:14" ht="12" customHeight="1" x14ac:dyDescent="0.2">
      <c r="A51" s="89"/>
      <c r="B51" s="179" t="s">
        <v>49</v>
      </c>
      <c r="C51" s="179"/>
      <c r="D51" s="179"/>
      <c r="E51" s="5"/>
      <c r="F51" s="5"/>
      <c r="G51" s="179" t="s">
        <v>50</v>
      </c>
      <c r="H51" s="179"/>
      <c r="I51" s="179"/>
      <c r="J51" s="1"/>
      <c r="K51" s="1"/>
      <c r="L51" s="1"/>
      <c r="M51" s="93"/>
      <c r="N51" s="29"/>
    </row>
    <row r="52" spans="1:14" ht="5.45" customHeight="1" x14ac:dyDescent="0.2">
      <c r="A52" s="89"/>
      <c r="B52" s="89"/>
      <c r="C52" s="93"/>
      <c r="D52" s="93"/>
      <c r="E52" s="5"/>
      <c r="F52" s="5"/>
      <c r="G52" s="1"/>
      <c r="H52" s="1"/>
      <c r="I52" s="1"/>
      <c r="J52" s="1"/>
      <c r="K52" s="1"/>
      <c r="L52" s="1"/>
      <c r="M52" s="93"/>
      <c r="N52" s="29"/>
    </row>
    <row r="53" spans="1:14" ht="15" customHeight="1" x14ac:dyDescent="0.2">
      <c r="A53" s="49" t="s">
        <v>51</v>
      </c>
      <c r="B53" s="50" t="str">
        <f>IF(AND(Hilfsblatt!A2 &lt;&gt; "",AND(Hilfsblatt!A2 &gt;= 6,Hilfsblatt!A2&lt;8)),1,"")</f>
        <v/>
      </c>
      <c r="C53" s="51" t="s">
        <v>52</v>
      </c>
      <c r="D53" s="52">
        <f>VLOOKUP($B$6,Tagessätze!$A$3:$P$9,4)</f>
        <v>4</v>
      </c>
      <c r="E53" s="53"/>
      <c r="F53" s="54"/>
      <c r="G53" s="55" t="str">
        <f>IF(Hilfsblatt!F2 &lt;&gt; "", Hilfsblatt!F2, "")</f>
        <v/>
      </c>
      <c r="H53" s="66" t="s">
        <v>53</v>
      </c>
      <c r="I53" s="56">
        <f>VLOOKUP($B$6,Tagessätze!$A$3:$P$9,7)</f>
        <v>6</v>
      </c>
      <c r="J53" s="93" t="s">
        <v>33</v>
      </c>
      <c r="K53" s="30">
        <f>IF(OR(B53 &lt;&gt; "",G53 &lt;&gt; ""),IF(B53 &lt;&gt; "",(B53*D53),0)+IF(G53 &lt;&gt; "",(G53*I53),0),0)</f>
        <v>0</v>
      </c>
      <c r="L53" s="1" t="s">
        <v>1</v>
      </c>
      <c r="M53" s="93"/>
      <c r="N53" s="29"/>
    </row>
    <row r="54" spans="1:14" ht="6" customHeight="1" x14ac:dyDescent="0.2">
      <c r="A54" s="89"/>
      <c r="B54" s="93"/>
      <c r="C54" s="93"/>
      <c r="D54" s="88"/>
      <c r="E54" s="6"/>
      <c r="F54" s="4"/>
      <c r="G54" s="88"/>
      <c r="H54" s="93"/>
      <c r="I54" s="88"/>
      <c r="J54" s="93"/>
      <c r="K54" s="3"/>
      <c r="L54" s="1"/>
      <c r="M54" s="93"/>
      <c r="N54" s="29"/>
    </row>
    <row r="55" spans="1:14" ht="15" customHeight="1" x14ac:dyDescent="0.2">
      <c r="A55" s="49" t="s">
        <v>54</v>
      </c>
      <c r="B55" s="50" t="str">
        <f>IF(AND(Hilfsblatt!A2 &lt;&gt; "",AND(Hilfsblatt!A2 &gt;= 8,Hilfsblatt!A2&lt;12)),1,"")</f>
        <v/>
      </c>
      <c r="C55" s="51" t="s">
        <v>52</v>
      </c>
      <c r="D55" s="52">
        <f>VLOOKUP($B$6,Tagessätze!$A$3:$P$9,5)</f>
        <v>7</v>
      </c>
      <c r="E55" s="53"/>
      <c r="F55" s="54"/>
      <c r="G55" s="55" t="str">
        <f>IF(Hilfsblatt!G2 &lt;&gt; "", Hilfsblatt!G2, "")</f>
        <v/>
      </c>
      <c r="H55" s="67" t="s">
        <v>53</v>
      </c>
      <c r="I55" s="57">
        <f>VLOOKUP($B$6,Tagessätze!$A$3:$P$9,8)</f>
        <v>11</v>
      </c>
      <c r="J55" s="93" t="s">
        <v>33</v>
      </c>
      <c r="K55" s="30">
        <f>IF(OR(B55 &lt;&gt; "",G55 &lt;&gt; ""),IF(B55 &lt;&gt; "",(B55*D55),0)+IF(G55 &lt;&gt; "",(G55*I55),0),0)</f>
        <v>0</v>
      </c>
      <c r="L55" s="1"/>
      <c r="M55" s="93"/>
      <c r="N55" s="29"/>
    </row>
    <row r="56" spans="1:14" ht="6" customHeight="1" x14ac:dyDescent="0.2">
      <c r="A56" s="89"/>
      <c r="B56" s="93"/>
      <c r="C56" s="93"/>
      <c r="D56" s="88"/>
      <c r="E56" s="6"/>
      <c r="F56" s="4"/>
      <c r="G56" s="93" t="s">
        <v>1</v>
      </c>
      <c r="H56" s="93" t="s">
        <v>1</v>
      </c>
      <c r="I56" s="88"/>
      <c r="J56" s="93"/>
      <c r="K56" s="3"/>
      <c r="L56" s="1"/>
      <c r="M56" s="93"/>
      <c r="N56" s="29"/>
    </row>
    <row r="57" spans="1:14" ht="15" customHeight="1" x14ac:dyDescent="0.2">
      <c r="A57" s="49" t="s">
        <v>55</v>
      </c>
      <c r="B57" s="50" t="str">
        <f>IF(AND(Hilfsblatt!A2 &lt;&gt; "",Hilfsblatt!A2 &gt;= 12),1,"")</f>
        <v/>
      </c>
      <c r="C57" s="51" t="s">
        <v>52</v>
      </c>
      <c r="D57" s="52">
        <f>VLOOKUP($B$6,Tagessätze!$A$3:$P$9,6)</f>
        <v>15</v>
      </c>
      <c r="E57" s="53"/>
      <c r="F57" s="54"/>
      <c r="G57" s="55">
        <f>IF(Hilfsblatt!H2 &lt;&gt; "", Hilfsblatt!H2, "")</f>
        <v>2</v>
      </c>
      <c r="H57" s="67" t="s">
        <v>53</v>
      </c>
      <c r="I57" s="57">
        <f>VLOOKUP($B$6,Tagessätze!$A$3:$P$9,9)</f>
        <v>21</v>
      </c>
      <c r="J57" s="93" t="s">
        <v>33</v>
      </c>
      <c r="K57" s="30">
        <f>IF(OR(B57 &lt;&gt; "",G57 &lt;&gt; ""),IF(B57 &lt;&gt; "",(B57*D57),0)+IF(G57 &lt;&gt; "",(G57*I57),0),0)</f>
        <v>42</v>
      </c>
      <c r="L57" s="33" t="s">
        <v>41</v>
      </c>
      <c r="M57" s="63" t="s">
        <v>33</v>
      </c>
      <c r="N57" s="40">
        <f>IF(Hilfsblatt!$A$2 &lt; 6,K49+K51+K53,0)</f>
        <v>0</v>
      </c>
    </row>
    <row r="58" spans="1:14" ht="8.4499999999999993" customHeight="1" x14ac:dyDescent="0.2">
      <c r="A58" s="88"/>
      <c r="B58" s="1"/>
      <c r="C58" s="1"/>
      <c r="J58" s="1"/>
      <c r="K58" s="3"/>
      <c r="L58" s="1"/>
      <c r="M58" s="93"/>
      <c r="N58" s="29"/>
    </row>
    <row r="59" spans="1:14" ht="15" customHeight="1" x14ac:dyDescent="0.2">
      <c r="A59" s="180" t="str">
        <f>IF(Hilfsblatt!A2 &lt;&gt; "", "Frühstück erhalten?", "Frühstück erhalten (ohne Anreisetag)?")</f>
        <v>Frühstück erhalten (ohne Anreisetag)?</v>
      </c>
      <c r="B59" s="180"/>
      <c r="C59" s="180"/>
      <c r="D59" s="180"/>
      <c r="E59" s="180"/>
      <c r="F59" s="1"/>
      <c r="G59" s="92" t="s">
        <v>143</v>
      </c>
      <c r="H59" s="38">
        <f>IF(Hilfsblatt!$A$2 &lt; 6, 0, VLOOKUP($B$6,Tagessätze!$A$3:$P$9,10))</f>
        <v>0.2</v>
      </c>
      <c r="I59" s="93" t="s">
        <v>56</v>
      </c>
      <c r="J59" s="93" t="s">
        <v>33</v>
      </c>
      <c r="K59" s="48">
        <f>IF(G59 = "Ja", IF(Hilfsblatt!A2 &lt;&gt; "",Hilfsblatt!I2*-1, Hilfsblatt!N2*-1),0)</f>
        <v>-4.2</v>
      </c>
    </row>
    <row r="60" spans="1:14" ht="15" customHeight="1" x14ac:dyDescent="0.2">
      <c r="A60" s="1"/>
      <c r="B60" s="181" t="s">
        <v>57</v>
      </c>
      <c r="C60" s="181"/>
      <c r="D60" s="181"/>
      <c r="E60" s="181"/>
      <c r="F60" s="1"/>
      <c r="G60" s="92" t="s">
        <v>143</v>
      </c>
      <c r="H60" s="38">
        <f>IF(Hilfsblatt!$A$2 &lt; 6, 0,VLOOKUP($B$6,Tagessätze!$A$3:$P$9,11))</f>
        <v>0.4</v>
      </c>
      <c r="I60" s="93" t="s">
        <v>56</v>
      </c>
      <c r="J60" s="93" t="s">
        <v>33</v>
      </c>
      <c r="K60" s="48">
        <f>IF(G60 = "Ja", Hilfsblatt!J2*-1,0)</f>
        <v>-16.8</v>
      </c>
      <c r="L60" s="1"/>
      <c r="M60" s="89"/>
      <c r="N60" s="29"/>
    </row>
    <row r="61" spans="1:14" ht="15" customHeight="1" x14ac:dyDescent="0.2">
      <c r="A61" s="181" t="str">
        <f>IF(Hilfsblatt!A2 &lt;&gt; "", "Abendessen erhalten?", "Abendessen erhalten (ohne Abreisetag)?")</f>
        <v>Abendessen erhalten (ohne Abreisetag)?</v>
      </c>
      <c r="B61" s="181"/>
      <c r="C61" s="181"/>
      <c r="D61" s="181"/>
      <c r="E61" s="181"/>
      <c r="F61" s="1"/>
      <c r="G61" s="92" t="s">
        <v>143</v>
      </c>
      <c r="H61" s="38">
        <f>IF(Hilfsblatt!$A$2 &lt; 6, 0,VLOOKUP($B$6,Tagessätze!$A$3:$P$9,12))</f>
        <v>0.4</v>
      </c>
      <c r="I61" s="93" t="s">
        <v>56</v>
      </c>
      <c r="J61" s="93" t="s">
        <v>33</v>
      </c>
      <c r="K61" s="48">
        <f>IF(G61 = "Ja", IF(Hilfsblatt!A2 &lt;&gt; "",Hilfsblatt!K2*-1, Hilfsblatt!P2*-1),0)</f>
        <v>-8.4</v>
      </c>
      <c r="L61" s="33" t="s">
        <v>41</v>
      </c>
      <c r="M61" s="18" t="s">
        <v>33</v>
      </c>
      <c r="N61" s="40">
        <f>K53+K55+K57+K59+K60+K61</f>
        <v>12.599999999999996</v>
      </c>
    </row>
    <row r="62" spans="1:14" ht="2.85" customHeight="1" x14ac:dyDescent="0.2">
      <c r="A62" s="1"/>
      <c r="B62" s="88"/>
      <c r="C62" s="88"/>
      <c r="D62" s="88"/>
      <c r="E62" s="88"/>
      <c r="F62" s="1"/>
      <c r="G62" s="91"/>
      <c r="H62" s="38"/>
      <c r="I62" s="93"/>
      <c r="J62" s="93"/>
      <c r="K62" s="48"/>
      <c r="L62" s="33"/>
      <c r="M62" s="18"/>
      <c r="N62" s="40"/>
    </row>
    <row r="63" spans="1:14" ht="6.9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  <c r="N63" s="46"/>
    </row>
    <row r="64" spans="1:14" s="68" customFormat="1" ht="2.85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39"/>
      <c r="N64" s="69"/>
    </row>
    <row r="65" spans="1:14" ht="15" customHeight="1" x14ac:dyDescent="0.2">
      <c r="A65" s="34" t="s">
        <v>58</v>
      </c>
      <c r="B65" s="189">
        <v>1234</v>
      </c>
      <c r="C65" s="189"/>
      <c r="D65" s="1"/>
      <c r="E65" s="181" t="str">
        <f>IF(AND(E18 = E20,D22&gt;0),CONCATENATE("Summe Einzelposten ",TEXT(N40+N45+N61, "0,00 €")," x ",D22+1),"Gesamtsumme")</f>
        <v>Gesamtsumme</v>
      </c>
      <c r="F65" s="181"/>
      <c r="G65" s="181"/>
      <c r="H65" s="181"/>
      <c r="I65" s="181"/>
      <c r="J65" s="181"/>
      <c r="K65" s="181"/>
      <c r="L65" s="181"/>
      <c r="M65" s="63" t="s">
        <v>33</v>
      </c>
      <c r="N65" s="41">
        <f>SUM(N40+N45+N61+N57)*IF(E18 = E20,D22+1,1)</f>
        <v>35.099999999999994</v>
      </c>
    </row>
    <row r="66" spans="1:14" ht="8.4499999999999993" customHeight="1" x14ac:dyDescent="0.2">
      <c r="A66" s="1"/>
      <c r="B66" s="1"/>
      <c r="C66" s="1"/>
      <c r="D66" s="1"/>
      <c r="E66" s="1"/>
      <c r="F66" s="1"/>
      <c r="G66" s="5"/>
      <c r="H66" s="5"/>
      <c r="I66" s="1"/>
      <c r="J66" s="1"/>
      <c r="K66" s="5"/>
      <c r="L66" s="5"/>
      <c r="M66" s="90"/>
      <c r="N66" s="22"/>
    </row>
    <row r="67" spans="1:14" ht="14.1" customHeight="1" x14ac:dyDescent="0.2">
      <c r="A67" s="1" t="s">
        <v>59</v>
      </c>
      <c r="B67" s="1"/>
      <c r="C67" s="1"/>
      <c r="D67" s="1"/>
      <c r="E67" s="1"/>
      <c r="F67" s="1"/>
      <c r="G67" s="1"/>
      <c r="H67" s="1"/>
      <c r="I67" s="1"/>
      <c r="J67" s="1"/>
      <c r="K67" s="35" t="s">
        <v>60</v>
      </c>
      <c r="L67" s="35"/>
      <c r="M67" s="35"/>
      <c r="N67" s="35"/>
    </row>
    <row r="68" spans="1:14" ht="28.3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89"/>
      <c r="L68" s="189"/>
      <c r="M68" s="189"/>
      <c r="N68" s="189"/>
    </row>
    <row r="69" spans="1:14" ht="14.1" customHeight="1" x14ac:dyDescent="0.2">
      <c r="A69" s="2" t="s">
        <v>61</v>
      </c>
      <c r="B69" s="31"/>
      <c r="C69" s="31"/>
      <c r="D69" s="191" t="s">
        <v>62</v>
      </c>
      <c r="E69" s="191"/>
      <c r="F69" s="191"/>
      <c r="G69" s="191"/>
      <c r="H69" s="191"/>
      <c r="I69" s="1"/>
      <c r="J69" s="1"/>
      <c r="K69" s="190" t="str">
        <f>IF(B6 = "BBV", "Präsidium", "Bezirksvorsitzende/r")</f>
        <v>Präsidium</v>
      </c>
      <c r="L69" s="190"/>
      <c r="M69" s="190"/>
      <c r="N69" s="190"/>
    </row>
    <row r="70" spans="1:14" ht="8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4.1" customHeight="1" x14ac:dyDescent="0.2">
      <c r="A71" s="36"/>
      <c r="B71" s="37"/>
      <c r="C71" s="37"/>
      <c r="D71" s="37"/>
      <c r="E71" s="37"/>
      <c r="F71" s="37"/>
      <c r="G71" s="37"/>
      <c r="H71" s="37"/>
      <c r="I71" s="22"/>
      <c r="J71" s="22"/>
      <c r="K71" s="35" t="s">
        <v>63</v>
      </c>
      <c r="L71" s="35"/>
      <c r="M71" s="35"/>
      <c r="N71" s="35"/>
    </row>
    <row r="72" spans="1:14" ht="28.35" customHeight="1" x14ac:dyDescent="0.2">
      <c r="A72" s="142">
        <v>42918</v>
      </c>
      <c r="B72" s="189"/>
      <c r="C72" s="189"/>
      <c r="D72" s="189"/>
      <c r="E72" s="189"/>
      <c r="F72" s="189"/>
      <c r="G72" s="189"/>
      <c r="H72" s="189"/>
      <c r="I72" s="22"/>
      <c r="J72" s="22"/>
      <c r="K72" s="189"/>
      <c r="L72" s="189"/>
      <c r="M72" s="189"/>
      <c r="N72" s="189"/>
    </row>
    <row r="73" spans="1:14" ht="15" x14ac:dyDescent="0.2">
      <c r="A73" s="75" t="s">
        <v>22</v>
      </c>
      <c r="B73" s="188" t="s">
        <v>64</v>
      </c>
      <c r="C73" s="188"/>
      <c r="D73" s="188"/>
      <c r="E73" s="188"/>
      <c r="F73" s="188"/>
      <c r="G73" s="188"/>
      <c r="H73" s="188"/>
      <c r="I73" s="22"/>
      <c r="J73" s="22"/>
      <c r="K73" s="190" t="s">
        <v>65</v>
      </c>
      <c r="L73" s="190"/>
      <c r="M73" s="190"/>
      <c r="N73" s="190"/>
    </row>
  </sheetData>
  <sheetProtection password="D553" sheet="1" objects="1" scenarios="1" selectLockedCells="1"/>
  <mergeCells count="51">
    <mergeCell ref="E22:H22"/>
    <mergeCell ref="I22:N22"/>
    <mergeCell ref="B2:L2"/>
    <mergeCell ref="H4:N4"/>
    <mergeCell ref="H6:N6"/>
    <mergeCell ref="H8:N8"/>
    <mergeCell ref="J18:K18"/>
    <mergeCell ref="H16:K16"/>
    <mergeCell ref="H10:N10"/>
    <mergeCell ref="B6:F6"/>
    <mergeCell ref="A10:F10"/>
    <mergeCell ref="H12:K12"/>
    <mergeCell ref="A8:F8"/>
    <mergeCell ref="M12:N12"/>
    <mergeCell ref="B16:F16"/>
    <mergeCell ref="A12:F12"/>
    <mergeCell ref="E18:H18"/>
    <mergeCell ref="M13:N13"/>
    <mergeCell ref="J20:K20"/>
    <mergeCell ref="E20:H20"/>
    <mergeCell ref="H13:K13"/>
    <mergeCell ref="J38:K38"/>
    <mergeCell ref="J40:K40"/>
    <mergeCell ref="J34:K34"/>
    <mergeCell ref="B73:H73"/>
    <mergeCell ref="K68:N68"/>
    <mergeCell ref="K72:N72"/>
    <mergeCell ref="K73:N73"/>
    <mergeCell ref="B72:H72"/>
    <mergeCell ref="D69:H69"/>
    <mergeCell ref="K69:N69"/>
    <mergeCell ref="D40:H40"/>
    <mergeCell ref="B65:C65"/>
    <mergeCell ref="C45:D45"/>
    <mergeCell ref="E45:G45"/>
    <mergeCell ref="B60:E60"/>
    <mergeCell ref="E65:L65"/>
    <mergeCell ref="B24:N24"/>
    <mergeCell ref="B36:K36"/>
    <mergeCell ref="G28:H28"/>
    <mergeCell ref="H30:I30"/>
    <mergeCell ref="H33:I33"/>
    <mergeCell ref="G31:H31"/>
    <mergeCell ref="G34:H34"/>
    <mergeCell ref="J31:K31"/>
    <mergeCell ref="J28:K28"/>
    <mergeCell ref="H45:K45"/>
    <mergeCell ref="B51:D51"/>
    <mergeCell ref="G51:I51"/>
    <mergeCell ref="A59:E59"/>
    <mergeCell ref="A61:E61"/>
  </mergeCells>
  <phoneticPr fontId="13" type="noConversion"/>
  <conditionalFormatting sqref="B31">
    <cfRule type="expression" dxfId="19" priority="40" stopIfTrue="1">
      <formula>IF(H30 = "Sammelrechnung", TRUE,0)</formula>
    </cfRule>
  </conditionalFormatting>
  <conditionalFormatting sqref="G55:I55">
    <cfRule type="expression" dxfId="18" priority="36" stopIfTrue="1">
      <formula>IF($G$55 &lt;&gt; "", TRUE,0)</formula>
    </cfRule>
  </conditionalFormatting>
  <conditionalFormatting sqref="G53:I53">
    <cfRule type="expression" dxfId="17" priority="35" stopIfTrue="1">
      <formula>IF($G$53 &lt;&gt; "", TRUE,0)</formula>
    </cfRule>
  </conditionalFormatting>
  <conditionalFormatting sqref="G57:I57">
    <cfRule type="expression" dxfId="16" priority="24" stopIfTrue="1">
      <formula>IF($G$57 &lt;&gt; "", TRUE,0)</formula>
    </cfRule>
  </conditionalFormatting>
  <conditionalFormatting sqref="B53:D53">
    <cfRule type="expression" dxfId="15" priority="34" stopIfTrue="1">
      <formula>IF($B$53 &lt;&gt; "", TRUE,0)</formula>
    </cfRule>
  </conditionalFormatting>
  <conditionalFormatting sqref="B55:D55">
    <cfRule type="expression" dxfId="14" priority="33" stopIfTrue="1">
      <formula>IF($B$55 &lt;&gt; "", TRUE,0)</formula>
    </cfRule>
  </conditionalFormatting>
  <conditionalFormatting sqref="B57:D57">
    <cfRule type="expression" dxfId="13" priority="32" stopIfTrue="1">
      <formula>IF($B$57 &lt;&gt; "", TRUE,0)</formula>
    </cfRule>
  </conditionalFormatting>
  <conditionalFormatting sqref="A55">
    <cfRule type="expression" dxfId="12" priority="29" stopIfTrue="1">
      <formula>IF(OR($B$55 &lt;&gt; "",$G$55 &lt;&gt; ""), TRUE,0)</formula>
    </cfRule>
  </conditionalFormatting>
  <conditionalFormatting sqref="A53">
    <cfRule type="expression" dxfId="11" priority="28" stopIfTrue="1">
      <formula>IF(OR($B$53 &lt;&gt; "",$G$53 &lt;&gt; ""), TRUE,0)</formula>
    </cfRule>
  </conditionalFormatting>
  <conditionalFormatting sqref="A57">
    <cfRule type="expression" dxfId="10" priority="27" stopIfTrue="1">
      <formula>IF(OR($B$57 &lt;&gt; "",$G$57 &lt;&gt; ""), TRUE,0)</formula>
    </cfRule>
  </conditionalFormatting>
  <conditionalFormatting sqref="I22:N22">
    <cfRule type="expression" dxfId="9" priority="15">
      <formula>IF(OR(E18 &lt;&gt; E20, D22 = 0), TRUE, FALSE)</formula>
    </cfRule>
    <cfRule type="expression" dxfId="8" priority="19">
      <formula>IF(AND(D22 &lt;&gt; "", D22 &gt; 0),TRUE,FALSE)</formula>
    </cfRule>
  </conditionalFormatting>
  <conditionalFormatting sqref="B36:K36">
    <cfRule type="expression" dxfId="7" priority="7">
      <formula>IF(B34=0, TRUE, FALSE)</formula>
    </cfRule>
  </conditionalFormatting>
  <conditionalFormatting sqref="A22">
    <cfRule type="expression" dxfId="6" priority="6">
      <formula>IF(E18 &lt;&gt; E20, TRUE, FALSE)</formula>
    </cfRule>
  </conditionalFormatting>
  <conditionalFormatting sqref="D22">
    <cfRule type="expression" dxfId="5" priority="5">
      <formula>IF(E18 &lt;&gt; E20, TRUE, FALSE)</formula>
    </cfRule>
  </conditionalFormatting>
  <conditionalFormatting sqref="E22:H22">
    <cfRule type="expression" dxfId="4" priority="4">
      <formula>IF(E18 &lt;&gt; E20, TRUE, FALSE)</formula>
    </cfRule>
  </conditionalFormatting>
  <dataValidations count="7">
    <dataValidation type="list" allowBlank="1" showInputMessage="1" showErrorMessage="1" sqref="G59:G62">
      <formula1>"Ja,Nein"</formula1>
    </dataValidation>
    <dataValidation type="list" allowBlank="1" showInputMessage="1" showErrorMessage="1" sqref="B6:F6">
      <formula1>"BBV,Mittelfranken, Ndb/Opf.,Oberbayern,Oberfranken,Schwaben,Unterfranken"</formula1>
    </dataValidation>
    <dataValidation type="list" allowBlank="1" showInputMessage="1" showErrorMessage="1" sqref="D69:H69">
      <formula1>"Überweisung, bar erhalten"</formula1>
    </dataValidation>
    <dataValidation type="list" allowBlank="1" showInputMessage="1" showErrorMessage="1" sqref="D22">
      <formula1>"0,1,2,3,4"</formula1>
    </dataValidation>
    <dataValidation type="list" allowBlank="1" showInputMessage="1" showErrorMessage="1" sqref="B34">
      <formula1>"0,1,2,3,4,5,6,7,8,9,10"</formula1>
    </dataValidation>
    <dataValidation type="date" allowBlank="1" showInputMessage="1" showErrorMessage="1" errorTitle="falsche Eingabe" error="geben Sie ein Datum im Format &quot;13.03.2017&quot; ein" promptTitle="Datum eingeben" sqref="E18:H18 E20:H20">
      <formula1>36526</formula1>
      <formula2>58440</formula2>
    </dataValidation>
    <dataValidation type="time" allowBlank="1" showInputMessage="1" showErrorMessage="1" errorTitle="falsche Eingabe" error="Geben Sie eine Uhrzeit im Format &quot;13:30&quot; ein" promptTitle="Uhrzeit eingeben (Format 00:00)" sqref="J18:K18 J20:K20">
      <formula1>0</formula1>
      <formula2>0.999305555555556</formula2>
    </dataValidation>
  </dataValidations>
  <printOptions horizontalCentered="1" verticalCentered="1"/>
  <pageMargins left="0" right="0" top="0" bottom="0" header="0" footer="0"/>
  <pageSetup paperSize="9" scale="99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01669BD5-6262-42C3-815C-F7C21AAC9D82}">
            <xm:f>IF(AND(Hilfsblatt!$B$2 = "", Hilfsblatt!$A$2 &lt;&gt;""),TRUE,0)</xm:f>
            <x14:dxf>
              <font>
                <color rgb="FF969696"/>
              </font>
            </x14:dxf>
          </x14:cfRule>
          <xm:sqref>G51:I57</xm:sqref>
        </x14:conditionalFormatting>
        <x14:conditionalFormatting xmlns:xm="http://schemas.microsoft.com/office/excel/2006/main">
          <x14:cfRule type="expression" priority="21" id="{B06185EB-1C57-416E-9EB8-D5026EBE52D5}">
            <xm:f>IF(AND(Hilfsblatt!$A$2 = "", Hilfsblatt!$B$2 &lt;&gt;""),TRUE,0)</xm:f>
            <x14:dxf>
              <font>
                <color rgb="FF969696"/>
              </font>
            </x14:dxf>
          </x14:cfRule>
          <xm:sqref>B51:D57</xm:sqref>
        </x14:conditionalFormatting>
        <x14:conditionalFormatting xmlns:xm="http://schemas.microsoft.com/office/excel/2006/main">
          <x14:cfRule type="expression" priority="3" id="{1F3486F0-EFBF-5A47-9EBE-D5675585D54D}">
            <xm:f>Hilfsblatt!$A$2 &gt;=6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L57:N57</xm:sqref>
        </x14:conditionalFormatting>
        <x14:conditionalFormatting xmlns:xm="http://schemas.microsoft.com/office/excel/2006/main">
          <x14:cfRule type="expression" priority="1" id="{85BCFC07-0060-A945-8CDF-33BCD16F9C38}">
            <xm:f>Hilfsblatt!$A$2 &lt; 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A60:N60 F59:N59 A59 F61:N61 A61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34"/>
  <sheetViews>
    <sheetView showGridLines="0" tabSelected="1" zoomScale="140" zoomScaleNormal="140" workbookViewId="0">
      <selection activeCell="L3" sqref="L3"/>
    </sheetView>
  </sheetViews>
  <sheetFormatPr baseColWidth="10" defaultColWidth="0" defaultRowHeight="12.75" zeroHeight="1" outlineLevelCol="1" x14ac:dyDescent="0.2"/>
  <cols>
    <col min="1" max="1" width="1" customWidth="1"/>
    <col min="2" max="2" width="8.85546875" customWidth="1"/>
    <col min="3" max="3" width="14.85546875" customWidth="1"/>
    <col min="4" max="4" width="10.85546875" customWidth="1"/>
    <col min="5" max="6" width="7.85546875" customWidth="1"/>
    <col min="7" max="8" width="9.85546875" customWidth="1"/>
    <col min="9" max="9" width="8.85546875" customWidth="1"/>
    <col min="10" max="11" width="12.85546875" customWidth="1"/>
    <col min="12" max="12" width="10.85546875" customWidth="1"/>
    <col min="13" max="13" width="1" customWidth="1" outlineLevel="1"/>
    <col min="14" max="16383" width="0" hidden="1" outlineLevel="1"/>
  </cols>
  <sheetData>
    <row r="1" spans="2:16" s="19" customFormat="1" ht="35.1" customHeight="1" thickBot="1" x14ac:dyDescent="0.25">
      <c r="B1" s="123"/>
      <c r="C1" s="123"/>
      <c r="D1" s="227" t="s">
        <v>0</v>
      </c>
      <c r="E1" s="228"/>
      <c r="F1" s="228"/>
      <c r="G1" s="228"/>
      <c r="H1" s="228"/>
      <c r="I1" s="228"/>
      <c r="J1" s="229"/>
      <c r="K1" s="123"/>
      <c r="L1" s="123"/>
      <c r="M1" s="123"/>
      <c r="N1" s="43"/>
      <c r="O1" s="43"/>
    </row>
    <row r="2" spans="2:16" s="19" customFormat="1" ht="11.45" customHeight="1" thickBot="1" x14ac:dyDescent="0.25">
      <c r="B2" s="1"/>
      <c r="C2" s="1"/>
      <c r="D2" s="1"/>
      <c r="E2" s="1"/>
      <c r="F2" s="1"/>
      <c r="G2" s="1"/>
      <c r="H2" s="1"/>
      <c r="I2" s="1"/>
      <c r="J2" s="1"/>
      <c r="K2" s="230" t="s">
        <v>140</v>
      </c>
      <c r="L2" s="231"/>
      <c r="M2" s="1"/>
      <c r="N2"/>
      <c r="O2"/>
      <c r="P2"/>
    </row>
    <row r="3" spans="2:16" ht="15.75" x14ac:dyDescent="0.2">
      <c r="B3" s="232" t="s">
        <v>138</v>
      </c>
      <c r="C3" s="233"/>
      <c r="D3" s="234"/>
      <c r="E3" s="235"/>
      <c r="F3" s="236"/>
      <c r="G3" s="236"/>
      <c r="H3" s="236"/>
      <c r="I3" s="236"/>
      <c r="J3" s="237" t="s">
        <v>122</v>
      </c>
      <c r="K3" s="237"/>
      <c r="L3" s="143"/>
      <c r="M3" s="103"/>
      <c r="N3" s="120"/>
    </row>
    <row r="4" spans="2:16" ht="16.5" thickBot="1" x14ac:dyDescent="0.25">
      <c r="B4" s="218" t="s">
        <v>123</v>
      </c>
      <c r="C4" s="219"/>
      <c r="D4" s="221"/>
      <c r="E4" s="221"/>
      <c r="F4" s="125" t="s">
        <v>124</v>
      </c>
      <c r="G4" s="220"/>
      <c r="H4" s="220"/>
      <c r="I4" s="220"/>
      <c r="J4" s="141" t="s">
        <v>125</v>
      </c>
      <c r="K4" s="216"/>
      <c r="L4" s="217"/>
      <c r="M4" s="103"/>
      <c r="N4" s="120"/>
    </row>
    <row r="5" spans="2:16" ht="15.75" x14ac:dyDescent="0.2">
      <c r="B5" s="104"/>
      <c r="C5" s="105"/>
      <c r="D5" s="136"/>
      <c r="E5" s="137"/>
      <c r="F5" s="103"/>
      <c r="G5" s="103"/>
      <c r="H5" s="103"/>
      <c r="I5" s="106"/>
      <c r="J5" s="106"/>
      <c r="K5" s="106"/>
      <c r="L5" s="103"/>
      <c r="M5" s="103"/>
      <c r="N5" s="120"/>
    </row>
    <row r="6" spans="2:16" ht="23.25" x14ac:dyDescent="0.2">
      <c r="B6" s="107" t="s">
        <v>126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3"/>
      <c r="N6" s="120"/>
    </row>
    <row r="7" spans="2:16" ht="15.75" x14ac:dyDescent="0.2">
      <c r="B7" s="104"/>
      <c r="C7" s="105"/>
      <c r="D7" s="105"/>
      <c r="E7" s="103"/>
      <c r="F7" s="103"/>
      <c r="G7" s="103"/>
      <c r="H7" s="103"/>
      <c r="I7" s="106"/>
      <c r="J7" s="106"/>
      <c r="K7" s="106"/>
      <c r="L7" s="103"/>
      <c r="M7" s="103"/>
      <c r="N7" s="120"/>
    </row>
    <row r="8" spans="2:16" ht="13.5" thickBot="1" x14ac:dyDescent="0.25">
      <c r="B8" s="103"/>
      <c r="C8" s="103"/>
      <c r="D8" s="103"/>
      <c r="E8" s="103"/>
      <c r="F8" s="103"/>
      <c r="G8" s="103"/>
      <c r="H8" s="103"/>
      <c r="I8" s="108" t="s">
        <v>1</v>
      </c>
      <c r="J8" s="108"/>
      <c r="K8" s="108"/>
      <c r="L8" s="103"/>
      <c r="M8" s="103"/>
      <c r="N8" s="120"/>
    </row>
    <row r="9" spans="2:16" ht="13.5" thickBot="1" x14ac:dyDescent="0.25">
      <c r="B9" s="109"/>
      <c r="C9" s="126" t="s">
        <v>127</v>
      </c>
      <c r="D9" s="126" t="s">
        <v>128</v>
      </c>
      <c r="E9" s="130" t="s">
        <v>30</v>
      </c>
      <c r="F9" s="110"/>
      <c r="G9" s="140" t="s">
        <v>129</v>
      </c>
      <c r="H9" s="127" t="s">
        <v>47</v>
      </c>
      <c r="I9" s="128" t="s">
        <v>130</v>
      </c>
      <c r="J9" s="111" t="s">
        <v>131</v>
      </c>
      <c r="K9" s="222" t="s">
        <v>14</v>
      </c>
      <c r="L9" s="223"/>
      <c r="M9" s="103"/>
      <c r="N9" s="120"/>
    </row>
    <row r="10" spans="2:16" ht="13.5" thickBot="1" x14ac:dyDescent="0.25">
      <c r="B10" s="129"/>
      <c r="C10" s="214" t="s">
        <v>132</v>
      </c>
      <c r="D10" s="215"/>
      <c r="E10" s="131" t="s">
        <v>133</v>
      </c>
      <c r="F10" s="132" t="s">
        <v>134</v>
      </c>
      <c r="G10" s="134" t="s">
        <v>134</v>
      </c>
      <c r="H10" s="133" t="s">
        <v>134</v>
      </c>
      <c r="I10" s="112" t="s">
        <v>135</v>
      </c>
      <c r="J10" s="135"/>
      <c r="K10" s="139"/>
      <c r="L10" s="138"/>
      <c r="M10" s="103"/>
      <c r="N10" s="120"/>
      <c r="P10" s="124"/>
    </row>
    <row r="11" spans="2:16" x14ac:dyDescent="0.2">
      <c r="B11" s="113">
        <v>1</v>
      </c>
      <c r="C11" s="144"/>
      <c r="D11" s="144"/>
      <c r="E11" s="152"/>
      <c r="F11" s="153"/>
      <c r="G11" s="154"/>
      <c r="H11" s="155"/>
      <c r="I11" s="156"/>
      <c r="J11" s="175">
        <v>1</v>
      </c>
      <c r="K11" s="224"/>
      <c r="L11" s="225"/>
      <c r="M11" s="103"/>
      <c r="N11" s="120"/>
    </row>
    <row r="12" spans="2:16" x14ac:dyDescent="0.2">
      <c r="B12" s="114">
        <v>2</v>
      </c>
      <c r="C12" s="145"/>
      <c r="D12" s="149"/>
      <c r="E12" s="157"/>
      <c r="F12" s="153"/>
      <c r="G12" s="158"/>
      <c r="H12" s="159"/>
      <c r="I12" s="156"/>
      <c r="J12" s="175">
        <v>2</v>
      </c>
      <c r="K12" s="207"/>
      <c r="L12" s="208"/>
      <c r="M12" s="103"/>
      <c r="N12" s="120"/>
    </row>
    <row r="13" spans="2:16" x14ac:dyDescent="0.2">
      <c r="B13" s="114">
        <v>3</v>
      </c>
      <c r="C13" s="146"/>
      <c r="D13" s="149"/>
      <c r="E13" s="157"/>
      <c r="F13" s="153"/>
      <c r="G13" s="154"/>
      <c r="H13" s="159"/>
      <c r="I13" s="156"/>
      <c r="J13" s="175">
        <v>3</v>
      </c>
      <c r="K13" s="207"/>
      <c r="L13" s="208"/>
      <c r="M13" s="103"/>
      <c r="N13" s="120"/>
    </row>
    <row r="14" spans="2:16" x14ac:dyDescent="0.2">
      <c r="B14" s="114">
        <v>4</v>
      </c>
      <c r="C14" s="145"/>
      <c r="D14" s="149"/>
      <c r="E14" s="157"/>
      <c r="F14" s="153"/>
      <c r="G14" s="154"/>
      <c r="H14" s="160"/>
      <c r="I14" s="156"/>
      <c r="J14" s="175">
        <v>4</v>
      </c>
      <c r="K14" s="207"/>
      <c r="L14" s="208"/>
      <c r="M14" s="103"/>
      <c r="N14" s="120"/>
    </row>
    <row r="15" spans="2:16" x14ac:dyDescent="0.2">
      <c r="B15" s="114">
        <v>5</v>
      </c>
      <c r="C15" s="145"/>
      <c r="D15" s="149"/>
      <c r="E15" s="161"/>
      <c r="F15" s="162"/>
      <c r="G15" s="154"/>
      <c r="H15" s="160"/>
      <c r="I15" s="156"/>
      <c r="J15" s="176">
        <v>5</v>
      </c>
      <c r="K15" s="226"/>
      <c r="L15" s="208"/>
      <c r="M15" s="103"/>
      <c r="N15" s="120"/>
    </row>
    <row r="16" spans="2:16" x14ac:dyDescent="0.2">
      <c r="B16" s="114">
        <v>6</v>
      </c>
      <c r="C16" s="145"/>
      <c r="D16" s="149"/>
      <c r="E16" s="161"/>
      <c r="F16" s="162"/>
      <c r="G16" s="154"/>
      <c r="H16" s="160"/>
      <c r="I16" s="156"/>
      <c r="J16" s="175">
        <v>6</v>
      </c>
      <c r="K16" s="207"/>
      <c r="L16" s="208"/>
      <c r="M16" s="103"/>
      <c r="N16" s="120"/>
    </row>
    <row r="17" spans="2:14" x14ac:dyDescent="0.2">
      <c r="B17" s="114">
        <v>7</v>
      </c>
      <c r="C17" s="145"/>
      <c r="D17" s="149"/>
      <c r="E17" s="157"/>
      <c r="F17" s="153"/>
      <c r="G17" s="163"/>
      <c r="H17" s="153"/>
      <c r="I17" s="156"/>
      <c r="J17" s="175">
        <v>7</v>
      </c>
      <c r="K17" s="207"/>
      <c r="L17" s="208"/>
      <c r="M17" s="103"/>
      <c r="N17" s="120"/>
    </row>
    <row r="18" spans="2:14" x14ac:dyDescent="0.2">
      <c r="B18" s="114">
        <v>8</v>
      </c>
      <c r="C18" s="145"/>
      <c r="D18" s="149"/>
      <c r="E18" s="157"/>
      <c r="F18" s="153"/>
      <c r="G18" s="163"/>
      <c r="H18" s="153"/>
      <c r="I18" s="156"/>
      <c r="J18" s="175">
        <v>8</v>
      </c>
      <c r="K18" s="207"/>
      <c r="L18" s="208"/>
      <c r="M18" s="103"/>
      <c r="N18" s="121"/>
    </row>
    <row r="19" spans="2:14" x14ac:dyDescent="0.2">
      <c r="B19" s="114">
        <v>9</v>
      </c>
      <c r="C19" s="145"/>
      <c r="D19" s="149"/>
      <c r="E19" s="164"/>
      <c r="F19" s="162"/>
      <c r="G19" s="163"/>
      <c r="H19" s="153"/>
      <c r="I19" s="156"/>
      <c r="J19" s="176">
        <v>9</v>
      </c>
      <c r="K19" s="226"/>
      <c r="L19" s="208"/>
      <c r="M19" s="103"/>
      <c r="N19" s="103"/>
    </row>
    <row r="20" spans="2:14" x14ac:dyDescent="0.2">
      <c r="B20" s="114">
        <v>10</v>
      </c>
      <c r="C20" s="145"/>
      <c r="D20" s="149"/>
      <c r="E20" s="164"/>
      <c r="F20" s="162"/>
      <c r="G20" s="154" t="s">
        <v>1</v>
      </c>
      <c r="H20" s="160"/>
      <c r="I20" s="156"/>
      <c r="J20" s="175">
        <v>10</v>
      </c>
      <c r="K20" s="207"/>
      <c r="L20" s="208"/>
      <c r="M20" s="103"/>
      <c r="N20" s="103"/>
    </row>
    <row r="21" spans="2:14" x14ac:dyDescent="0.2">
      <c r="B21" s="114">
        <v>11</v>
      </c>
      <c r="C21" s="145"/>
      <c r="D21" s="149"/>
      <c r="E21" s="157"/>
      <c r="F21" s="153"/>
      <c r="G21" s="163"/>
      <c r="H21" s="165"/>
      <c r="I21" s="166"/>
      <c r="J21" s="175">
        <v>11</v>
      </c>
      <c r="K21" s="207"/>
      <c r="L21" s="208"/>
      <c r="M21" s="103"/>
      <c r="N21" s="103"/>
    </row>
    <row r="22" spans="2:14" x14ac:dyDescent="0.2">
      <c r="B22" s="114">
        <v>12</v>
      </c>
      <c r="C22" s="145"/>
      <c r="D22" s="149"/>
      <c r="E22" s="157"/>
      <c r="F22" s="153"/>
      <c r="G22" s="154"/>
      <c r="H22" s="160"/>
      <c r="I22" s="156"/>
      <c r="J22" s="175">
        <v>12</v>
      </c>
      <c r="K22" s="207"/>
      <c r="L22" s="208"/>
      <c r="M22" s="103"/>
      <c r="N22" s="103"/>
    </row>
    <row r="23" spans="2:14" ht="15" x14ac:dyDescent="0.2">
      <c r="B23" s="114">
        <v>13</v>
      </c>
      <c r="C23" s="147"/>
      <c r="D23" s="150"/>
      <c r="E23" s="157"/>
      <c r="F23" s="153"/>
      <c r="G23" s="167"/>
      <c r="H23" s="153"/>
      <c r="I23" s="156"/>
      <c r="J23" s="175">
        <v>13</v>
      </c>
      <c r="K23" s="207"/>
      <c r="L23" s="208"/>
      <c r="M23" s="103"/>
      <c r="N23" s="103"/>
    </row>
    <row r="24" spans="2:14" ht="15.75" thickBot="1" x14ac:dyDescent="0.25">
      <c r="B24" s="122">
        <v>14</v>
      </c>
      <c r="C24" s="148" t="s">
        <v>1</v>
      </c>
      <c r="D24" s="151"/>
      <c r="E24" s="168"/>
      <c r="F24" s="169"/>
      <c r="G24" s="170"/>
      <c r="H24" s="171"/>
      <c r="I24" s="172" t="s">
        <v>1</v>
      </c>
      <c r="J24" s="177">
        <v>14</v>
      </c>
      <c r="K24" s="209"/>
      <c r="L24" s="210"/>
      <c r="M24" s="103"/>
      <c r="N24" s="103"/>
    </row>
    <row r="25" spans="2:14" ht="15.75" thickBot="1" x14ac:dyDescent="0.25">
      <c r="B25" s="103"/>
      <c r="C25" s="103"/>
      <c r="D25" s="103"/>
      <c r="E25" s="211" t="s">
        <v>136</v>
      </c>
      <c r="F25" s="212"/>
      <c r="G25" s="212"/>
      <c r="H25" s="213"/>
      <c r="I25" s="173"/>
      <c r="J25" s="115"/>
      <c r="K25" s="115"/>
      <c r="L25" s="103"/>
      <c r="M25" s="103"/>
      <c r="N25" s="103"/>
    </row>
    <row r="26" spans="2:14" x14ac:dyDescent="0.2">
      <c r="B26" s="103"/>
      <c r="C26" s="103"/>
      <c r="D26" s="103"/>
      <c r="E26" s="103"/>
      <c r="F26" s="116"/>
      <c r="G26" s="103"/>
      <c r="H26" s="116"/>
      <c r="I26" s="103"/>
      <c r="J26" s="103"/>
      <c r="K26" s="103"/>
      <c r="L26" s="103"/>
      <c r="M26" s="103"/>
      <c r="N26" s="103"/>
    </row>
    <row r="27" spans="2:14" x14ac:dyDescent="0.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2:14" x14ac:dyDescent="0.2">
      <c r="B28" s="103"/>
      <c r="C28" s="103"/>
      <c r="D28" s="103"/>
      <c r="E28" s="174"/>
      <c r="F28" s="174"/>
      <c r="G28" s="174"/>
      <c r="H28" s="174"/>
      <c r="I28" s="174"/>
      <c r="J28" s="174"/>
      <c r="K28" s="174"/>
      <c r="L28" s="174"/>
      <c r="M28" s="103"/>
      <c r="N28" s="103"/>
    </row>
    <row r="29" spans="2:14" x14ac:dyDescent="0.2">
      <c r="B29" s="117"/>
      <c r="C29" s="117"/>
      <c r="D29" s="103"/>
      <c r="E29" s="118" t="s">
        <v>139</v>
      </c>
      <c r="F29" s="118"/>
      <c r="G29" s="118"/>
      <c r="H29" s="118"/>
      <c r="I29" s="118"/>
      <c r="J29" s="118"/>
      <c r="K29" s="118"/>
      <c r="L29" s="118"/>
      <c r="M29" s="103"/>
      <c r="N29" s="103"/>
    </row>
    <row r="30" spans="2:14" x14ac:dyDescent="0.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2:14" x14ac:dyDescent="0.2"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  <row r="32" spans="2:14" x14ac:dyDescent="0.2">
      <c r="B32" s="119" t="s">
        <v>137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</row>
    <row r="33" spans="2:14" x14ac:dyDescent="0.2"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</row>
    <row r="34" spans="2:14" hidden="1" x14ac:dyDescent="0.2"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</row>
  </sheetData>
  <sheetProtection password="D553" sheet="1" objects="1" scenarios="1" selectLockedCells="1"/>
  <mergeCells count="26">
    <mergeCell ref="D1:J1"/>
    <mergeCell ref="K2:L2"/>
    <mergeCell ref="B3:D3"/>
    <mergeCell ref="E3:I3"/>
    <mergeCell ref="J3:K3"/>
    <mergeCell ref="E25:H25"/>
    <mergeCell ref="C10:D10"/>
    <mergeCell ref="K4:L4"/>
    <mergeCell ref="B4:C4"/>
    <mergeCell ref="G4:I4"/>
    <mergeCell ref="D4:E4"/>
    <mergeCell ref="K9:L9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phoneticPr fontId="13" type="noConversion"/>
  <pageMargins left="0.7" right="0.7" top="0.75" bottom="0.7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125" zoomScaleNormal="125" zoomScalePageLayoutView="125" workbookViewId="0">
      <selection activeCell="I20" sqref="I20"/>
    </sheetView>
  </sheetViews>
  <sheetFormatPr baseColWidth="10" defaultColWidth="10.85546875" defaultRowHeight="12.75" x14ac:dyDescent="0.2"/>
  <cols>
    <col min="2" max="2" width="15.140625" customWidth="1"/>
    <col min="3" max="3" width="17.140625" customWidth="1"/>
    <col min="4" max="4" width="21.42578125" customWidth="1"/>
    <col min="5" max="5" width="15.140625" customWidth="1"/>
    <col min="6" max="6" width="11.85546875" customWidth="1"/>
    <col min="12" max="12" width="14.7109375" customWidth="1"/>
    <col min="13" max="13" width="20.7109375" customWidth="1"/>
    <col min="14" max="14" width="13.7109375" customWidth="1"/>
    <col min="15" max="15" width="21" customWidth="1"/>
  </cols>
  <sheetData>
    <row r="1" spans="1:16" x14ac:dyDescent="0.2">
      <c r="A1" s="7" t="s">
        <v>66</v>
      </c>
      <c r="B1" s="7" t="s">
        <v>67</v>
      </c>
      <c r="C1" s="7" t="s">
        <v>68</v>
      </c>
      <c r="D1" s="7" t="s">
        <v>69</v>
      </c>
      <c r="E1" s="12" t="s">
        <v>70</v>
      </c>
      <c r="F1" s="16" t="s">
        <v>71</v>
      </c>
      <c r="G1" s="16" t="s">
        <v>72</v>
      </c>
      <c r="H1" s="16" t="s">
        <v>73</v>
      </c>
      <c r="I1" s="16" t="s">
        <v>74</v>
      </c>
      <c r="J1" s="16" t="s">
        <v>75</v>
      </c>
      <c r="K1" s="16" t="s">
        <v>76</v>
      </c>
      <c r="L1" s="102" t="s">
        <v>117</v>
      </c>
      <c r="M1" s="102" t="s">
        <v>121</v>
      </c>
      <c r="N1" s="102" t="s">
        <v>118</v>
      </c>
      <c r="O1" s="102" t="s">
        <v>119</v>
      </c>
      <c r="P1" s="102" t="s">
        <v>120</v>
      </c>
    </row>
    <row r="2" spans="1:16" x14ac:dyDescent="0.2">
      <c r="A2" s="9" t="str">
        <f>IF('RKA Einzel'!J18 &gt; 'RKA Einzel'!J20, "",IF('RKA Einzel'!E18 = 'RKA Einzel'!E20,MOD('RKA Einzel'!J20-'RKA Einzel'!J18,1)*24, ""))</f>
        <v/>
      </c>
      <c r="B2" s="9">
        <f>IF('RKA Einzel'!E18 &lt;&gt; 'RKA Einzel'!E20,MOD(E2-'RKA Einzel'!J18,1)*24, "")</f>
        <v>17.5</v>
      </c>
      <c r="C2" s="9">
        <f>IF('RKA Einzel'!E18 &lt;&gt; 'RKA Einzel'!E20,MOD('RKA Einzel'!J20-E2,1)*24, "")</f>
        <v>18.5</v>
      </c>
      <c r="D2" s="8" t="str">
        <f>IF(AND('RKA Einzel'!E18 &lt;&gt; 'RKA Einzel'!E20,DATEDIF('RKA Einzel'!E18,'RKA Einzel'!E20,"d")-1 &lt;&gt; 0),DATEDIF('RKA Einzel'!E18,'RKA Einzel'!E20,"d")-1,"")</f>
        <v/>
      </c>
      <c r="E2" s="15">
        <v>0</v>
      </c>
      <c r="F2" s="13" t="str">
        <f>IF(AND($B2&gt;=6,$B2&lt;8,$C2&gt;=6,$C2&lt;8),2,IF(AND($B2&gt;=6,$B2&lt;8),1,IF(AND($C2&gt;=6,$C2&lt;8),1,"")))</f>
        <v/>
      </c>
      <c r="G2" s="13" t="str">
        <f>IF(AND($B2&gt;=8,$B2&lt;12,$C2&gt;=8,$C2&lt;12),2,IF(AND($B2&gt;=8,$B2&lt;12),1,IF(AND($C2&gt;=8,$C2&lt;12),1,"")))</f>
        <v/>
      </c>
      <c r="H2" s="17">
        <f>IF('RKA Einzel'!E18 = 'RKA Einzel'!E20, "",IF(AND(B2 &lt; 12, C2 &lt; 12, D2 = ""), "",IF(AND(B2 &lt; 12, C2 &lt; 12, D2 &lt;&gt; ""),D2,IF(AND($B2&gt;=12,$C2&gt;=12),2+IF(D2&lt;&gt;"",D2,0),IF($B2&gt;=12,1+IF(D2&lt;&gt;"",D2,0),IF($C2&gt;=12,1+IF(D2&lt;&gt;"",D2,0)))))))</f>
        <v>2</v>
      </c>
      <c r="I2" s="47">
        <f>IF('RKA Einzel'!$G59 = "Ja",(IF('RKA Einzel'!$K$53 &lt;&gt; "", 'RKA Einzel'!$K$53, 0)+IF('RKA Einzel'!$K$55 &lt;&gt; "", 'RKA Einzel'!$K$55, 0)+IF('RKA Einzel'!$K$57 &lt;&gt; "", 'RKA Einzel'!$K$57, 0))*'RKA Einzel'!$H59,0)</f>
        <v>8.4</v>
      </c>
      <c r="J2" s="47">
        <f>IF('RKA Einzel'!$G60 = "Ja",(IF('RKA Einzel'!$K$53 &lt;&gt; "", 'RKA Einzel'!$K$53, 0)+IF('RKA Einzel'!$K$55 &lt;&gt; "", 'RKA Einzel'!$K$55, 0)+IF('RKA Einzel'!$K$57 &lt;&gt; "", 'RKA Einzel'!$K$57, 0))*'RKA Einzel'!$H60,0)</f>
        <v>16.8</v>
      </c>
      <c r="K2" s="47">
        <f>IF('RKA Einzel'!$G61 = "Ja",(IF('RKA Einzel'!$K$53 &lt;&gt; "", 'RKA Einzel'!$K$53, 0)+IF('RKA Einzel'!$K$55 &lt;&gt; "", 'RKA Einzel'!$K$55, 0)+IF('RKA Einzel'!$K$57 &lt;&gt; "", 'RKA Einzel'!$K$57, 0))*'RKA Einzel'!$H61,0)</f>
        <v>16.8</v>
      </c>
      <c r="L2">
        <f>IF(A2 = "",'RKA Einzel'!K53+'RKA Einzel'!K55+'RKA Einzel'!K57,"")</f>
        <v>42</v>
      </c>
      <c r="M2">
        <f>IF(AND($A$2="", 'RKA Einzel'!$G59 = "Ja"),IF($B$2&gt;=12,VLOOKUP('RKA Einzel'!$B$6,Tagessätze!$A$2:$P$9,9),IF($B$2&gt;=8,VLOOKUP('RKA Einzel'!$B$6,Tagessätze!$A$2:$P$9,8),IF($B$2&gt;=6,VLOOKUP('RKA Einzel'!$B$6,Tagessätze!$A$2:$P$9,7),0))),0)</f>
        <v>21</v>
      </c>
      <c r="N2">
        <f>($L$2-$M$2)*VLOOKUP('RKA Einzel'!$B$6,Tagessätze!$A$2:$P$9,10)</f>
        <v>4.2</v>
      </c>
      <c r="O2">
        <f>IF(AND($A$2="", 'RKA Einzel'!$G61 = "Ja"),IF($C$2&gt;=12,VLOOKUP('RKA Einzel'!$B$6,Tagessätze!$A$2:$P$9,9),IF($C$2&gt;=8,VLOOKUP('RKA Einzel'!$B$6,Tagessätze!$A$2:$P$9,8),IF($C$2&gt;=6,VLOOKUP('RKA Einzel'!$B$6,Tagessätze!$A$2:$P$9,7),0))),0)</f>
        <v>21</v>
      </c>
      <c r="P2">
        <f>($L$2-$O$2)*VLOOKUP('RKA Einzel'!$B$6,Tagessätze!$A$2:$P$9,12)</f>
        <v>8.4</v>
      </c>
    </row>
    <row r="3" spans="1:16" x14ac:dyDescent="0.2">
      <c r="B3" s="8"/>
      <c r="E3" s="14"/>
    </row>
    <row r="7" spans="1:16" x14ac:dyDescent="0.2">
      <c r="B7" s="7"/>
    </row>
    <row r="19" spans="8:8" x14ac:dyDescent="0.2">
      <c r="H19" s="11"/>
    </row>
  </sheetData>
  <sheetProtection password="D553" sheet="1" objects="1" scenarios="1" selectLockedCells="1" selectUnlockedCells="1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B12" sqref="B12"/>
    </sheetView>
  </sheetViews>
  <sheetFormatPr baseColWidth="10" defaultColWidth="10.85546875" defaultRowHeight="18" x14ac:dyDescent="0.25"/>
  <cols>
    <col min="1" max="1" width="24.140625" style="64" customWidth="1"/>
    <col min="2" max="2" width="9.7109375" style="64" customWidth="1"/>
    <col min="3" max="3" width="20.140625" style="64" customWidth="1"/>
    <col min="4" max="4" width="11.140625" style="64" customWidth="1"/>
    <col min="5" max="6" width="11.28515625" style="64" customWidth="1"/>
    <col min="7" max="8" width="13.28515625" style="64" customWidth="1"/>
    <col min="9" max="9" width="14.42578125" style="64" customWidth="1"/>
    <col min="10" max="10" width="11.42578125" style="64" customWidth="1"/>
    <col min="11" max="11" width="13.7109375" style="64" customWidth="1"/>
    <col min="12" max="12" width="14" style="64" customWidth="1"/>
    <col min="13" max="16" width="37.28515625" style="64" customWidth="1"/>
    <col min="17" max="16384" width="10.85546875" style="64"/>
  </cols>
  <sheetData>
    <row r="1" spans="1:17" x14ac:dyDescent="0.25">
      <c r="A1" s="64" t="s">
        <v>77</v>
      </c>
    </row>
    <row r="2" spans="1:17" x14ac:dyDescent="0.25">
      <c r="A2" s="84" t="s">
        <v>78</v>
      </c>
      <c r="B2" s="84" t="s">
        <v>79</v>
      </c>
      <c r="C2" s="85" t="s">
        <v>80</v>
      </c>
      <c r="D2" s="84" t="s">
        <v>81</v>
      </c>
      <c r="E2" s="85" t="s">
        <v>82</v>
      </c>
      <c r="F2" s="85" t="s">
        <v>82</v>
      </c>
      <c r="G2" s="85" t="s">
        <v>71</v>
      </c>
      <c r="H2" s="85" t="s">
        <v>72</v>
      </c>
      <c r="I2" s="85" t="s">
        <v>73</v>
      </c>
      <c r="J2" s="85" t="s">
        <v>83</v>
      </c>
      <c r="K2" s="85" t="s">
        <v>84</v>
      </c>
      <c r="L2" s="85" t="s">
        <v>85</v>
      </c>
      <c r="M2" s="85" t="s">
        <v>86</v>
      </c>
      <c r="N2" s="85" t="s">
        <v>87</v>
      </c>
      <c r="O2" s="85" t="s">
        <v>88</v>
      </c>
      <c r="P2" s="85" t="s">
        <v>89</v>
      </c>
    </row>
    <row r="3" spans="1:17" ht="20.25" x14ac:dyDescent="0.35">
      <c r="A3" s="94" t="s">
        <v>90</v>
      </c>
      <c r="B3" s="95">
        <v>0.25</v>
      </c>
      <c r="C3" s="95">
        <v>0.02</v>
      </c>
      <c r="D3" s="95">
        <v>4</v>
      </c>
      <c r="E3" s="95">
        <v>7</v>
      </c>
      <c r="F3" s="95">
        <v>15</v>
      </c>
      <c r="G3" s="95">
        <v>6</v>
      </c>
      <c r="H3" s="95">
        <v>11</v>
      </c>
      <c r="I3" s="95">
        <v>21</v>
      </c>
      <c r="J3" s="96">
        <v>0.2</v>
      </c>
      <c r="K3" s="96">
        <v>0.4</v>
      </c>
      <c r="L3" s="96">
        <v>0.4</v>
      </c>
      <c r="M3" s="97" t="s">
        <v>106</v>
      </c>
      <c r="N3" s="97" t="s">
        <v>91</v>
      </c>
      <c r="O3" s="97">
        <v>80992</v>
      </c>
      <c r="P3" s="97" t="s">
        <v>92</v>
      </c>
      <c r="Q3" s="65"/>
    </row>
    <row r="4" spans="1:17" x14ac:dyDescent="0.25">
      <c r="A4" s="98" t="s">
        <v>93</v>
      </c>
      <c r="B4" s="99">
        <v>0.3</v>
      </c>
      <c r="C4" s="99">
        <v>0.02</v>
      </c>
      <c r="D4" s="99">
        <v>4.5</v>
      </c>
      <c r="E4" s="99">
        <v>7.5</v>
      </c>
      <c r="F4" s="99">
        <v>15</v>
      </c>
      <c r="G4" s="99">
        <v>6.5</v>
      </c>
      <c r="H4" s="99">
        <v>11</v>
      </c>
      <c r="I4" s="99">
        <v>21.5</v>
      </c>
      <c r="J4" s="100">
        <v>0.2</v>
      </c>
      <c r="K4" s="100">
        <v>0.4</v>
      </c>
      <c r="L4" s="100">
        <v>0.4</v>
      </c>
      <c r="M4" s="98" t="s">
        <v>94</v>
      </c>
      <c r="N4" s="98" t="s">
        <v>95</v>
      </c>
      <c r="O4" s="98">
        <v>90766</v>
      </c>
      <c r="P4" s="98" t="s">
        <v>96</v>
      </c>
      <c r="Q4" s="65"/>
    </row>
    <row r="5" spans="1:17" x14ac:dyDescent="0.25">
      <c r="A5" s="94" t="s">
        <v>141</v>
      </c>
      <c r="B5" s="95">
        <v>0.25</v>
      </c>
      <c r="C5" s="95">
        <v>0.02</v>
      </c>
      <c r="D5" s="95">
        <v>4</v>
      </c>
      <c r="E5" s="95">
        <v>7</v>
      </c>
      <c r="F5" s="95">
        <v>15</v>
      </c>
      <c r="G5" s="95">
        <v>6</v>
      </c>
      <c r="H5" s="95">
        <v>11</v>
      </c>
      <c r="I5" s="95">
        <v>21</v>
      </c>
      <c r="J5" s="96">
        <v>0.2</v>
      </c>
      <c r="K5" s="96">
        <v>0.4</v>
      </c>
      <c r="L5" s="96">
        <v>0.4</v>
      </c>
      <c r="M5" s="94" t="s">
        <v>97</v>
      </c>
      <c r="N5" s="94" t="s">
        <v>98</v>
      </c>
      <c r="O5" s="94">
        <v>93142</v>
      </c>
      <c r="P5" s="94" t="s">
        <v>99</v>
      </c>
      <c r="Q5" s="65"/>
    </row>
    <row r="6" spans="1:17" ht="20.25" x14ac:dyDescent="0.35">
      <c r="A6" s="98" t="s">
        <v>100</v>
      </c>
      <c r="B6" s="99">
        <v>0.25</v>
      </c>
      <c r="C6" s="99">
        <v>0.02</v>
      </c>
      <c r="D6" s="99">
        <v>4</v>
      </c>
      <c r="E6" s="99">
        <v>7</v>
      </c>
      <c r="F6" s="99">
        <v>15</v>
      </c>
      <c r="G6" s="99">
        <v>6</v>
      </c>
      <c r="H6" s="99">
        <v>11</v>
      </c>
      <c r="I6" s="99">
        <v>21</v>
      </c>
      <c r="J6" s="100">
        <v>0.2</v>
      </c>
      <c r="K6" s="100">
        <v>0.4</v>
      </c>
      <c r="L6" s="100">
        <v>0.4</v>
      </c>
      <c r="M6" s="101" t="s">
        <v>107</v>
      </c>
      <c r="N6" s="101" t="s">
        <v>108</v>
      </c>
      <c r="O6" s="101">
        <v>82256</v>
      </c>
      <c r="P6" s="101" t="s">
        <v>109</v>
      </c>
      <c r="Q6" s="65"/>
    </row>
    <row r="7" spans="1:17" ht="20.25" x14ac:dyDescent="0.35">
      <c r="A7" s="94" t="s">
        <v>101</v>
      </c>
      <c r="B7" s="95">
        <v>0.25</v>
      </c>
      <c r="C7" s="95">
        <v>0.02</v>
      </c>
      <c r="D7" s="95">
        <v>4</v>
      </c>
      <c r="E7" s="95">
        <v>7</v>
      </c>
      <c r="F7" s="95">
        <v>15</v>
      </c>
      <c r="G7" s="95">
        <v>6</v>
      </c>
      <c r="H7" s="95">
        <v>11</v>
      </c>
      <c r="I7" s="95">
        <v>21</v>
      </c>
      <c r="J7" s="96">
        <v>0.2</v>
      </c>
      <c r="K7" s="96">
        <v>0.4</v>
      </c>
      <c r="L7" s="96">
        <v>0.4</v>
      </c>
      <c r="M7" s="97" t="s">
        <v>110</v>
      </c>
      <c r="N7" s="97" t="s">
        <v>111</v>
      </c>
      <c r="O7" s="97">
        <v>95709</v>
      </c>
      <c r="P7" s="97" t="s">
        <v>112</v>
      </c>
      <c r="Q7" s="65"/>
    </row>
    <row r="8" spans="1:17" s="87" customFormat="1" ht="20.25" x14ac:dyDescent="0.35">
      <c r="A8" s="98" t="s">
        <v>102</v>
      </c>
      <c r="B8" s="99">
        <v>0.25</v>
      </c>
      <c r="C8" s="99">
        <v>0.02</v>
      </c>
      <c r="D8" s="99">
        <v>4</v>
      </c>
      <c r="E8" s="99">
        <v>7</v>
      </c>
      <c r="F8" s="99">
        <v>15</v>
      </c>
      <c r="G8" s="99">
        <v>6</v>
      </c>
      <c r="H8" s="99">
        <v>11</v>
      </c>
      <c r="I8" s="99">
        <v>21</v>
      </c>
      <c r="J8" s="100">
        <v>0.2</v>
      </c>
      <c r="K8" s="100">
        <v>0.4</v>
      </c>
      <c r="L8" s="100">
        <v>0.4</v>
      </c>
      <c r="M8" s="101" t="s">
        <v>113</v>
      </c>
      <c r="N8" s="101" t="s">
        <v>114</v>
      </c>
      <c r="O8" s="101">
        <v>89434</v>
      </c>
      <c r="P8" s="101" t="s">
        <v>115</v>
      </c>
      <c r="Q8" s="86"/>
    </row>
    <row r="9" spans="1:17" x14ac:dyDescent="0.25">
      <c r="A9" s="94" t="s">
        <v>103</v>
      </c>
      <c r="B9" s="95">
        <v>0.25</v>
      </c>
      <c r="C9" s="95">
        <v>0.02</v>
      </c>
      <c r="D9" s="95">
        <v>4</v>
      </c>
      <c r="E9" s="95">
        <v>7</v>
      </c>
      <c r="F9" s="95">
        <v>15</v>
      </c>
      <c r="G9" s="95">
        <v>6</v>
      </c>
      <c r="H9" s="95">
        <v>11</v>
      </c>
      <c r="I9" s="95">
        <v>21</v>
      </c>
      <c r="J9" s="96">
        <v>0.2</v>
      </c>
      <c r="K9" s="96">
        <v>0.4</v>
      </c>
      <c r="L9" s="96">
        <v>0.4</v>
      </c>
      <c r="M9" s="94" t="s">
        <v>104</v>
      </c>
      <c r="N9" s="94" t="s">
        <v>116</v>
      </c>
      <c r="O9" s="94">
        <v>97209</v>
      </c>
      <c r="P9" s="94" t="s">
        <v>105</v>
      </c>
      <c r="Q9" s="65"/>
    </row>
  </sheetData>
  <sheetProtection password="D553" sheet="1" objects="1" scenarios="1"/>
  <pageMargins left="0.7" right="0.7" top="0.78740157499999996" bottom="0.78740157499999996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RKA Einzel</vt:lpstr>
      <vt:lpstr>RKA Masse</vt:lpstr>
      <vt:lpstr>Hilfsblatt</vt:lpstr>
      <vt:lpstr>Tagessätze</vt:lpstr>
      <vt:lpstr>'RKA Einzel'!Druckbereich</vt:lpstr>
    </vt:vector>
  </TitlesOfParts>
  <Manager/>
  <Company>Bayerischer Badminton Verband e.V.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Schlosser</dc:creator>
  <cp:keywords/>
  <dc:description/>
  <cp:lastModifiedBy>tfoertel</cp:lastModifiedBy>
  <cp:revision/>
  <cp:lastPrinted>2017-11-05T15:54:49Z</cp:lastPrinted>
  <dcterms:created xsi:type="dcterms:W3CDTF">2000-05-26T23:58:26Z</dcterms:created>
  <dcterms:modified xsi:type="dcterms:W3CDTF">2017-11-06T23:47:12Z</dcterms:modified>
  <cp:category/>
  <cp:contentStatus/>
</cp:coreProperties>
</file>